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0" windowWidth="12420" windowHeight="9912" firstSheet="1" activeTab="2"/>
  </bookViews>
  <sheets>
    <sheet name="2011" sheetId="1" r:id="rId1"/>
    <sheet name="20151" sheetId="2" r:id="rId2"/>
    <sheet name="2018" sheetId="3" r:id="rId3"/>
  </sheets>
  <definedNames/>
  <calcPr fullCalcOnLoad="1"/>
</workbook>
</file>

<file path=xl/sharedStrings.xml><?xml version="1.0" encoding="utf-8"?>
<sst xmlns="http://schemas.openxmlformats.org/spreadsheetml/2006/main" count="461" uniqueCount="231">
  <si>
    <t>Смета доходов и расходов</t>
  </si>
  <si>
    <t>Доходы</t>
  </si>
  <si>
    <t>Аренда подсобного помещения</t>
  </si>
  <si>
    <t>Сборы за техн.обсл.здания</t>
  </si>
  <si>
    <t>Капитальный ремонт дома</t>
  </si>
  <si>
    <t>% по остатку денежных средств</t>
  </si>
  <si>
    <t>ИТОГО:</t>
  </si>
  <si>
    <t>Расходы</t>
  </si>
  <si>
    <t xml:space="preserve">Заработная плата </t>
  </si>
  <si>
    <t>Отчисления в ПФР</t>
  </si>
  <si>
    <t>Отчисления в ИФНС (НДФЛ)</t>
  </si>
  <si>
    <t>Электроэнергия</t>
  </si>
  <si>
    <t>Телефон правления</t>
  </si>
  <si>
    <t>% за услуги банка</t>
  </si>
  <si>
    <t>Ревизия</t>
  </si>
  <si>
    <t>143345,МО.Наро-Фоминский р-н</t>
  </si>
  <si>
    <t>р/с       40703810540270124036</t>
  </si>
  <si>
    <t>п.Селятино.д.Орбита</t>
  </si>
  <si>
    <t>БИК     044525225</t>
  </si>
  <si>
    <t xml:space="preserve">к/сч.    30101810400000000225 </t>
  </si>
  <si>
    <t>инн/кпп 503009169 /503001001</t>
  </si>
  <si>
    <t>ОСБ 2572/080 СБ России г.Москва</t>
  </si>
  <si>
    <t xml:space="preserve"> /080 СБ России  г.Москва</t>
  </si>
  <si>
    <t>----------------------------------------------------------------------------------------------------------------------------------</t>
  </si>
  <si>
    <t xml:space="preserve">тел.8 (496)342-33-76 </t>
  </si>
  <si>
    <t>Остаток по кассе на 01.01.2011 г.</t>
  </si>
  <si>
    <t>Остаток по банку на 01.01.2011 г.</t>
  </si>
  <si>
    <t>Прочие (Бивег.Дримлайн.фотосал.уборщ.)</t>
  </si>
  <si>
    <t>Оформление лимита (экология)</t>
  </si>
  <si>
    <t>Хоз.нужды, материалы и канц. Товары.почт.расх.</t>
  </si>
  <si>
    <t>Служ.разъезды.поздравления</t>
  </si>
  <si>
    <t>Промывка и опрессовка стояков и бат. Отопл.</t>
  </si>
  <si>
    <t>Благоустр-во тер. (очистка снега и пров.суб.)</t>
  </si>
  <si>
    <t>Услуги юриста</t>
  </si>
  <si>
    <t>Ремонт козырьков над входами</t>
  </si>
  <si>
    <t>Дезинфекция от блох</t>
  </si>
  <si>
    <t>Противопож.обсл. В аренд.пом.</t>
  </si>
  <si>
    <t>Приведение в порядок противопож.обор.</t>
  </si>
  <si>
    <t>Вывоз ТБО</t>
  </si>
  <si>
    <t>ИФНС (зем.налог)</t>
  </si>
  <si>
    <t>Товарищество собственников жилья</t>
  </si>
  <si>
    <t xml:space="preserve">          Антипина Н.Н.</t>
  </si>
  <si>
    <t>Утверждено на собрании</t>
  </si>
  <si>
    <t xml:space="preserve">протокол № </t>
  </si>
  <si>
    <t>от</t>
  </si>
  <si>
    <t>Техн.обсл.узла учета тепл.</t>
  </si>
  <si>
    <t>Составили:</t>
  </si>
  <si>
    <t xml:space="preserve">          Типикина Г.М.</t>
  </si>
  <si>
    <t>Премиальный фонд</t>
  </si>
  <si>
    <t>январь</t>
  </si>
  <si>
    <t>февраль</t>
  </si>
  <si>
    <t>март</t>
  </si>
  <si>
    <t>апрель</t>
  </si>
  <si>
    <t>май</t>
  </si>
  <si>
    <t>июнь</t>
  </si>
  <si>
    <t>сошников оконч.расчет</t>
  </si>
  <si>
    <t>июль</t>
  </si>
  <si>
    <t>август</t>
  </si>
  <si>
    <t>сентябрь</t>
  </si>
  <si>
    <t>госпошлина</t>
  </si>
  <si>
    <t>Отчисления в ИФНС (аренда)прибыль</t>
  </si>
  <si>
    <t>скс</t>
  </si>
  <si>
    <t>нтэк</t>
  </si>
  <si>
    <t>мособлгаз</t>
  </si>
  <si>
    <t>пени</t>
  </si>
  <si>
    <t>домофон</t>
  </si>
  <si>
    <t>возврат госпошл</t>
  </si>
  <si>
    <t>селятино-строй</t>
  </si>
  <si>
    <t>копии в ифнс</t>
  </si>
  <si>
    <t>экопроект</t>
  </si>
  <si>
    <t>октябрь</t>
  </si>
  <si>
    <t>ноябрь</t>
  </si>
  <si>
    <t>декабрь</t>
  </si>
  <si>
    <t xml:space="preserve"> </t>
  </si>
  <si>
    <t>очистка дорог от снега .крыш</t>
  </si>
  <si>
    <t>отопл.,гор.в.</t>
  </si>
  <si>
    <t>ХВС,кан,</t>
  </si>
  <si>
    <t>газ</t>
  </si>
  <si>
    <t>антенна</t>
  </si>
  <si>
    <t>дезобр.</t>
  </si>
  <si>
    <t>уборка пом</t>
  </si>
  <si>
    <t>доп.усл</t>
  </si>
  <si>
    <t>перерасчет</t>
  </si>
  <si>
    <t>тбо</t>
  </si>
  <si>
    <t>система видеонабл.</t>
  </si>
  <si>
    <t xml:space="preserve">    ОРБИТА</t>
  </si>
  <si>
    <t>Аварийные и рем.работы, вкл.рем.балконов(стройИмпекс)</t>
  </si>
  <si>
    <t>Долевое участие в ремонте дороги(отделстрой)</t>
  </si>
  <si>
    <t>Полная замена труб ГВС с сост.сметы(СелятиноСтрой)</t>
  </si>
  <si>
    <t>План</t>
  </si>
  <si>
    <t>Факт</t>
  </si>
  <si>
    <t>Подписка</t>
  </si>
  <si>
    <t>Э/энергия мест общего пользования</t>
  </si>
  <si>
    <t>Налог на прибыль</t>
  </si>
  <si>
    <t>Юридическое сопровождение</t>
  </si>
  <si>
    <t>ВСЕГО:</t>
  </si>
  <si>
    <t>по ТСЖ  Орбита на 2011 г.</t>
  </si>
  <si>
    <t>программа 1-С</t>
  </si>
  <si>
    <t>аудит.пров.</t>
  </si>
  <si>
    <t>Квартплата</t>
  </si>
  <si>
    <t>I.</t>
  </si>
  <si>
    <t>Управление многоквартирным домом</t>
  </si>
  <si>
    <t>Заработная плата персонала</t>
  </si>
  <si>
    <t>Вознаграждение председателя и членов правления</t>
  </si>
  <si>
    <t>Страховые взносы</t>
  </si>
  <si>
    <t xml:space="preserve">Расходы на телефон правления </t>
  </si>
  <si>
    <t>Канцелярские,почтовые расходы,материалы,обсл.оргтехники</t>
  </si>
  <si>
    <t>Программное обеспечение "Домовладелец"</t>
  </si>
  <si>
    <t>II.</t>
  </si>
  <si>
    <t>Заработная плата обсл.персонала</t>
  </si>
  <si>
    <t>Аварийные и ремонтные работы</t>
  </si>
  <si>
    <t>Электролампы,инвентарь,краски,оборудование</t>
  </si>
  <si>
    <t>Дератизация</t>
  </si>
  <si>
    <t>Обслуживание узла учета</t>
  </si>
  <si>
    <t>Благоустройство</t>
  </si>
  <si>
    <t>Обсл.пожарной сигнализации в цокольном этаже</t>
  </si>
  <si>
    <t>п.Селятино.д.Орбита, 22/23</t>
  </si>
  <si>
    <t>Содержание и ремонт общего имущества</t>
  </si>
  <si>
    <t>51 сч.</t>
  </si>
  <si>
    <t>50 сч.</t>
  </si>
  <si>
    <t>71 сч.</t>
  </si>
  <si>
    <t xml:space="preserve">бродская приход </t>
  </si>
  <si>
    <t>Остаток по кассе</t>
  </si>
  <si>
    <t>Остаток по банку</t>
  </si>
  <si>
    <t>ХВС</t>
  </si>
  <si>
    <t>Стоки</t>
  </si>
  <si>
    <t>ГВС</t>
  </si>
  <si>
    <t>Отопление</t>
  </si>
  <si>
    <t>оплачено поставщикам</t>
  </si>
  <si>
    <t>начислено жителям</t>
  </si>
  <si>
    <t>оплачено жителями</t>
  </si>
  <si>
    <t>разница</t>
  </si>
  <si>
    <t>Итого:</t>
  </si>
  <si>
    <t>на 01.01.2015</t>
  </si>
  <si>
    <t>Сбор платежей с жителей за обслуживание, содержание и ремонт</t>
  </si>
  <si>
    <t>Сборы платежей за обслуживание домофона</t>
  </si>
  <si>
    <t>Сбор платежей за обслуживание антенны</t>
  </si>
  <si>
    <t>Управление эксплуатацией ж/фонда</t>
  </si>
  <si>
    <t>Обслуживание домофона</t>
  </si>
  <si>
    <t>Обслуживание антенн</t>
  </si>
  <si>
    <t>Э/энергия в арендуемых помещениях</t>
  </si>
  <si>
    <t>Обслуживание кассового аппарата</t>
  </si>
  <si>
    <t>Возврат 4 руб. с кв.м.</t>
  </si>
  <si>
    <t>Подтверждение лимита на вывоз мусора общ. им.</t>
  </si>
  <si>
    <t>Резерв на обслуживание и ремонт</t>
  </si>
  <si>
    <t>Капитальный ремонт дома до 01.06.2014 г.</t>
  </si>
  <si>
    <t>Тарифы по оплате за коммунальные услуги</t>
  </si>
  <si>
    <t>отопление</t>
  </si>
  <si>
    <t>стоки</t>
  </si>
  <si>
    <t>Согласно распоряжению Комитета по ценам и тарифам Московской обл. тариф на коммунальные услуги с 01.07.2014 года составляет</t>
  </si>
  <si>
    <t>1 Гкал</t>
  </si>
  <si>
    <t>18,04 руб/куб.м</t>
  </si>
  <si>
    <t>19,27 руб/куб.м</t>
  </si>
  <si>
    <t>2355,87 руб/Гкал</t>
  </si>
  <si>
    <t>ХВС в составе ГВС</t>
  </si>
  <si>
    <r>
      <t xml:space="preserve">26,86 руб/куб.м + 124,86 руб/куб.м = </t>
    </r>
    <r>
      <rPr>
        <b/>
        <sz val="10"/>
        <rFont val="Arial Cyr"/>
        <family val="0"/>
      </rPr>
      <t>151,72 руб/куб.м</t>
    </r>
  </si>
  <si>
    <t>подогрев полотенцесушителя от отопления</t>
  </si>
  <si>
    <t>подогрев полотенцесушителя от ГВС</t>
  </si>
  <si>
    <t>стоимость 1 куб.м ГВС (подогрева полотенцесушителя от отопления)</t>
  </si>
  <si>
    <t>стоимость 1 куб.м ГВС (подогрев полотенцесушителя от ГВС)</t>
  </si>
  <si>
    <t>кв.плата</t>
  </si>
  <si>
    <t>Справка о техн.сост.здания (ГЖИ)</t>
  </si>
  <si>
    <t>Поступления по решению суда</t>
  </si>
  <si>
    <t>Чистка вент.каналов</t>
  </si>
  <si>
    <t>Промывка системы отопления</t>
  </si>
  <si>
    <t>Система видеонаблюдения</t>
  </si>
  <si>
    <t>Э/энергия в аренд.помещениях</t>
  </si>
  <si>
    <t>Ремонт входов в подъезды</t>
  </si>
  <si>
    <t>на 01.01.2016</t>
  </si>
  <si>
    <t>Возмещение по решению суда</t>
  </si>
  <si>
    <t>с 01.01.2015</t>
  </si>
  <si>
    <t>с 01.07.2015</t>
  </si>
  <si>
    <t>26,86 руб/куб.м</t>
  </si>
  <si>
    <t>19,98 руб/куб.м</t>
  </si>
  <si>
    <t>20,80 руб/куб.м</t>
  </si>
  <si>
    <t>2534,29 руб/Гкал</t>
  </si>
  <si>
    <t xml:space="preserve">29,17 руб/куб.м </t>
  </si>
  <si>
    <r>
      <t xml:space="preserve">0,053 Гкал/куб.м х 2355,87 руб/Гкал = </t>
    </r>
    <r>
      <rPr>
        <b/>
        <sz val="10"/>
        <rFont val="Arial Cyr"/>
        <family val="0"/>
      </rPr>
      <t xml:space="preserve">124,86 руб/куб.м </t>
    </r>
  </si>
  <si>
    <r>
      <t xml:space="preserve">0,057 Гкал/куб.м х 2534,29 руб/Гкал = </t>
    </r>
    <r>
      <rPr>
        <b/>
        <sz val="10"/>
        <rFont val="Arial Cyr"/>
        <family val="0"/>
      </rPr>
      <t>144,45 руб/куб.м</t>
    </r>
  </si>
  <si>
    <r>
      <t xml:space="preserve">29,17 руб/куб.м + 144,45 руб/куб.м = </t>
    </r>
    <r>
      <rPr>
        <b/>
        <sz val="10"/>
        <rFont val="Arial Cyr"/>
        <family val="0"/>
      </rPr>
      <t>173,62 руб/куб.м</t>
    </r>
  </si>
  <si>
    <t>+</t>
  </si>
  <si>
    <t>касса</t>
  </si>
  <si>
    <t>земельный налог</t>
  </si>
  <si>
    <t>базаров госпошлина</t>
  </si>
  <si>
    <t xml:space="preserve">Итого приход </t>
  </si>
  <si>
    <t>Итого расход</t>
  </si>
  <si>
    <t>касперский</t>
  </si>
  <si>
    <t>мягкову</t>
  </si>
  <si>
    <t>20,57 руб/куб.м</t>
  </si>
  <si>
    <t>21,57 руб/куб.м</t>
  </si>
  <si>
    <t xml:space="preserve">29,59 руб/куб.м </t>
  </si>
  <si>
    <t>по ТСЖ Орбита за 2015 г.</t>
  </si>
  <si>
    <t xml:space="preserve">Расходы по решению суда, ревизия, антивир. программа </t>
  </si>
  <si>
    <t>начислено жителям и арендаторам</t>
  </si>
  <si>
    <t>оплачено жителями и арендаторами</t>
  </si>
  <si>
    <t>Содержание общего имущества</t>
  </si>
  <si>
    <t>Благоустройство, проведение субботника, собрание</t>
  </si>
  <si>
    <t>Промывка и опрессовка системы отопления</t>
  </si>
  <si>
    <t>Росквартал</t>
  </si>
  <si>
    <t>на 01.01.2017 года</t>
  </si>
  <si>
    <t>с 01.01.2017</t>
  </si>
  <si>
    <t>2564,48 руб/Гкал</t>
  </si>
  <si>
    <r>
      <t xml:space="preserve">0,065 Гкал/куб.м х 2564,48руб/Гкал = </t>
    </r>
    <r>
      <rPr>
        <b/>
        <sz val="10"/>
        <rFont val="Arial Cyr"/>
        <family val="0"/>
      </rPr>
      <t xml:space="preserve">167,70 руб/куб.м </t>
    </r>
  </si>
  <si>
    <t>с 01.07.2017</t>
  </si>
  <si>
    <t>21,64 руб/куб.м</t>
  </si>
  <si>
    <t>22,53 руб/куб.м</t>
  </si>
  <si>
    <t>2635,02 руб/Гкал</t>
  </si>
  <si>
    <t xml:space="preserve">30,62 руб/куб.м </t>
  </si>
  <si>
    <r>
      <t xml:space="preserve">29,59 руб/куб.м + 167,70 руб/куб.м = </t>
    </r>
    <r>
      <rPr>
        <b/>
        <sz val="10"/>
        <rFont val="Arial Cyr"/>
        <family val="0"/>
      </rPr>
      <t>197,29 руб/куб.м</t>
    </r>
  </si>
  <si>
    <r>
      <t xml:space="preserve">0,065 Гкал/куб.м х 2635,02 руб/Гкал = </t>
    </r>
    <r>
      <rPr>
        <b/>
        <sz val="10"/>
        <rFont val="Arial Cyr"/>
        <family val="0"/>
      </rPr>
      <t>171,28 руб/куб.м</t>
    </r>
  </si>
  <si>
    <r>
      <t xml:space="preserve">30,62 руб/куб.м + 171,28 руб/куб.м = </t>
    </r>
    <r>
      <rPr>
        <b/>
        <sz val="10"/>
        <rFont val="Arial Cyr"/>
        <family val="0"/>
      </rPr>
      <t>201,90 руб/куб.м</t>
    </r>
  </si>
  <si>
    <t>п.Селятино, д. 22/23</t>
  </si>
  <si>
    <t>выручка</t>
  </si>
  <si>
    <t>инн/кпп 5030009169 /503001001</t>
  </si>
  <si>
    <t>расх</t>
  </si>
  <si>
    <t>прих</t>
  </si>
  <si>
    <t>ресурсосн.</t>
  </si>
  <si>
    <t>возврат</t>
  </si>
  <si>
    <t>теплосеть</t>
  </si>
  <si>
    <t>Утверждено на собрании                  . Протокол № 1</t>
  </si>
  <si>
    <t>по ТСЖ Орбита на 2018 г.</t>
  </si>
  <si>
    <t>Расходы на телефон правления, служ. Разъезды, поздравления</t>
  </si>
  <si>
    <t>ВДГО</t>
  </si>
  <si>
    <t>ВДПО,прочистка вент.каналов</t>
  </si>
  <si>
    <t>Поверка теплосчетчика с устан. датчика давл.</t>
  </si>
  <si>
    <t>Ком.ресурсы на СОИ</t>
  </si>
  <si>
    <t>аварийно-восстановит.работы</t>
  </si>
  <si>
    <t>Оформление ЭЦП, ЭДО (2 шт)</t>
  </si>
  <si>
    <t>Домовладелец, Антивир.прогр., журнал.реестр собствен.</t>
  </si>
  <si>
    <t>Обсл.пожарной сигнал. в цокольном этаже, огнетуш.</t>
  </si>
  <si>
    <t>ВСЕГО          5778249,46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</si>
</sst>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[$-FC19]d\ mmmm\ yyyy\ &quot;г.&quot;"/>
    <numFmt numFmtId="166" formatCode="000000"/>
    <numFmt numFmtId="167" formatCode="0000"/>
  </numFmts>
  <fonts count="69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2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20"/>
      <name val="Arial Cyr"/>
      <family val="0"/>
    </font>
    <font>
      <b/>
      <sz val="12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sz val="10"/>
      <color indexed="8"/>
      <name val="Arial Cyr"/>
      <family val="0"/>
    </font>
    <font>
      <b/>
      <sz val="10"/>
      <color indexed="61"/>
      <name val="Arial Cyr"/>
      <family val="0"/>
    </font>
    <font>
      <b/>
      <sz val="10"/>
      <color indexed="57"/>
      <name val="Arial Cyr"/>
      <family val="0"/>
    </font>
    <font>
      <b/>
      <sz val="10"/>
      <color indexed="46"/>
      <name val="Arial Cyr"/>
      <family val="0"/>
    </font>
    <font>
      <b/>
      <sz val="10"/>
      <color indexed="52"/>
      <name val="Arial Cyr"/>
      <family val="0"/>
    </font>
    <font>
      <b/>
      <sz val="10"/>
      <color indexed="8"/>
      <name val="Arial Cyr"/>
      <family val="0"/>
    </font>
    <font>
      <sz val="9"/>
      <name val="Arial Cyr"/>
      <family val="0"/>
    </font>
    <font>
      <b/>
      <sz val="10"/>
      <color indexed="9"/>
      <name val="Arial Cyr"/>
      <family val="0"/>
    </font>
    <font>
      <b/>
      <u val="single"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10"/>
      <color indexed="12"/>
      <name val="Arial Cyr"/>
      <family val="0"/>
    </font>
    <font>
      <sz val="10"/>
      <color indexed="20"/>
      <name val="Arial Cyr"/>
      <family val="0"/>
    </font>
    <font>
      <b/>
      <sz val="10"/>
      <color indexed="20"/>
      <name val="Arial Cyr"/>
      <family val="0"/>
    </font>
    <font>
      <b/>
      <sz val="10"/>
      <color indexed="14"/>
      <name val="Arial"/>
      <family val="2"/>
    </font>
    <font>
      <b/>
      <sz val="10"/>
      <color indexed="5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7"/>
      <name val="Arial Cyr"/>
      <family val="0"/>
    </font>
    <font>
      <b/>
      <sz val="14"/>
      <color indexed="1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00B050"/>
      <name val="Arial Cyr"/>
      <family val="0"/>
    </font>
    <font>
      <b/>
      <sz val="14"/>
      <color rgb="FF00B05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1" fillId="0" borderId="0">
      <alignment/>
      <protection/>
    </xf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 quotePrefix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2" fillId="33" borderId="0" xfId="0" applyFont="1" applyFill="1" applyAlignment="1">
      <alignment/>
    </xf>
    <xf numFmtId="0" fontId="13" fillId="0" borderId="0" xfId="0" applyFont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2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12" fillId="33" borderId="10" xfId="0" applyFont="1" applyFill="1" applyBorder="1" applyAlignment="1">
      <alignment/>
    </xf>
    <xf numFmtId="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" fontId="13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2" fillId="0" borderId="10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5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2" fontId="2" fillId="0" borderId="0" xfId="0" applyNumberFormat="1" applyFont="1" applyAlignment="1">
      <alignment/>
    </xf>
    <xf numFmtId="2" fontId="0" fillId="0" borderId="10" xfId="0" applyNumberFormat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20" fillId="0" borderId="0" xfId="0" applyFont="1" applyAlignment="1">
      <alignment/>
    </xf>
    <xf numFmtId="2" fontId="20" fillId="0" borderId="0" xfId="0" applyNumberFormat="1" applyFont="1" applyAlignment="1">
      <alignment/>
    </xf>
    <xf numFmtId="0" fontId="9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0" fontId="23" fillId="35" borderId="10" xfId="0" applyFont="1" applyFill="1" applyBorder="1" applyAlignment="1">
      <alignment/>
    </xf>
    <xf numFmtId="0" fontId="24" fillId="35" borderId="10" xfId="0" applyFont="1" applyFill="1" applyBorder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/>
    </xf>
    <xf numFmtId="0" fontId="10" fillId="0" borderId="0" xfId="0" applyFont="1" applyAlignment="1">
      <alignment/>
    </xf>
    <xf numFmtId="4" fontId="25" fillId="33" borderId="14" xfId="53" applyNumberFormat="1" applyFont="1" applyFill="1" applyBorder="1" applyAlignment="1">
      <alignment horizontal="right" vertical="top" wrapText="1"/>
      <protection/>
    </xf>
    <xf numFmtId="0" fontId="26" fillId="0" borderId="0" xfId="0" applyFont="1" applyAlignment="1">
      <alignment/>
    </xf>
    <xf numFmtId="0" fontId="16" fillId="36" borderId="0" xfId="0" applyFont="1" applyFill="1" applyAlignment="1">
      <alignment/>
    </xf>
    <xf numFmtId="4" fontId="16" fillId="36" borderId="0" xfId="0" applyNumberFormat="1" applyFont="1" applyFill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Border="1" applyAlignment="1">
      <alignment wrapText="1" shrinkToFi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center" wrapText="1" shrinkToFit="1"/>
    </xf>
    <xf numFmtId="0" fontId="0" fillId="0" borderId="10" xfId="0" applyBorder="1" applyAlignment="1">
      <alignment horizontal="center" shrinkToFi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2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23" fillId="33" borderId="10" xfId="0" applyFont="1" applyFill="1" applyBorder="1" applyAlignment="1">
      <alignment/>
    </xf>
    <xf numFmtId="2" fontId="24" fillId="33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65" fillId="0" borderId="0" xfId="0" applyFont="1" applyAlignment="1">
      <alignment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2" fontId="0" fillId="25" borderId="0" xfId="0" applyNumberFormat="1" applyFill="1" applyAlignment="1">
      <alignment/>
    </xf>
    <xf numFmtId="2" fontId="66" fillId="0" borderId="0" xfId="0" applyNumberFormat="1" applyFont="1" applyAlignment="1">
      <alignment/>
    </xf>
    <xf numFmtId="2" fontId="23" fillId="35" borderId="0" xfId="0" applyNumberFormat="1" applyFont="1" applyFill="1" applyAlignment="1">
      <alignment/>
    </xf>
    <xf numFmtId="0" fontId="0" fillId="37" borderId="10" xfId="0" applyFill="1" applyBorder="1" applyAlignment="1">
      <alignment/>
    </xf>
    <xf numFmtId="0" fontId="5" fillId="37" borderId="11" xfId="0" applyFont="1" applyFill="1" applyBorder="1" applyAlignment="1">
      <alignment/>
    </xf>
    <xf numFmtId="0" fontId="5" fillId="37" borderId="13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66" fillId="37" borderId="10" xfId="0" applyFont="1" applyFill="1" applyBorder="1" applyAlignment="1">
      <alignment/>
    </xf>
    <xf numFmtId="2" fontId="66" fillId="37" borderId="10" xfId="0" applyNumberFormat="1" applyFont="1" applyFill="1" applyBorder="1" applyAlignment="1">
      <alignment/>
    </xf>
    <xf numFmtId="2" fontId="65" fillId="37" borderId="10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17" fillId="0" borderId="10" xfId="0" applyFont="1" applyBorder="1" applyAlignment="1">
      <alignment horizontal="center" wrapText="1" shrinkToFit="1"/>
    </xf>
    <xf numFmtId="0" fontId="17" fillId="0" borderId="10" xfId="0" applyFont="1" applyBorder="1" applyAlignment="1">
      <alignment horizontal="center" wrapText="1"/>
    </xf>
    <xf numFmtId="2" fontId="5" fillId="0" borderId="10" xfId="0" applyNumberFormat="1" applyFont="1" applyBorder="1" applyAlignment="1">
      <alignment/>
    </xf>
    <xf numFmtId="0" fontId="65" fillId="0" borderId="0" xfId="0" applyFont="1" applyBorder="1" applyAlignment="1">
      <alignment horizontal="left"/>
    </xf>
    <xf numFmtId="2" fontId="16" fillId="36" borderId="0" xfId="0" applyNumberFormat="1" applyFont="1" applyFill="1" applyAlignment="1">
      <alignment/>
    </xf>
    <xf numFmtId="0" fontId="66" fillId="0" borderId="0" xfId="0" applyFont="1" applyAlignment="1">
      <alignment/>
    </xf>
    <xf numFmtId="2" fontId="25" fillId="33" borderId="14" xfId="53" applyNumberFormat="1" applyFont="1" applyFill="1" applyBorder="1" applyAlignment="1">
      <alignment horizontal="right" vertical="top" wrapText="1"/>
      <protection/>
    </xf>
    <xf numFmtId="2" fontId="26" fillId="0" borderId="0" xfId="0" applyNumberFormat="1" applyFont="1" applyAlignment="1">
      <alignment/>
    </xf>
    <xf numFmtId="0" fontId="67" fillId="0" borderId="10" xfId="0" applyFont="1" applyBorder="1" applyAlignment="1">
      <alignment/>
    </xf>
    <xf numFmtId="0" fontId="67" fillId="0" borderId="0" xfId="0" applyFont="1" applyAlignment="1">
      <alignment/>
    </xf>
    <xf numFmtId="4" fontId="9" fillId="0" borderId="0" xfId="0" applyNumberFormat="1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2" fontId="9" fillId="34" borderId="11" xfId="0" applyNumberFormat="1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2" fontId="65" fillId="37" borderId="11" xfId="0" applyNumberFormat="1" applyFont="1" applyFill="1" applyBorder="1" applyAlignment="1">
      <alignment/>
    </xf>
    <xf numFmtId="2" fontId="66" fillId="37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5" fillId="34" borderId="10" xfId="0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24" fillId="35" borderId="11" xfId="0" applyNumberFormat="1" applyFont="1" applyFill="1" applyBorder="1" applyAlignment="1">
      <alignment/>
    </xf>
    <xf numFmtId="0" fontId="24" fillId="35" borderId="12" xfId="0" applyFont="1" applyFill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11" xfId="0" applyFont="1" applyBorder="1" applyAlignment="1">
      <alignment horizontal="right" wrapText="1" shrinkToFit="1"/>
    </xf>
    <xf numFmtId="0" fontId="0" fillId="0" borderId="13" xfId="0" applyBorder="1" applyAlignment="1">
      <alignment horizontal="right" wrapText="1" shrinkToFit="1"/>
    </xf>
    <xf numFmtId="0" fontId="0" fillId="0" borderId="12" xfId="0" applyBorder="1" applyAlignment="1">
      <alignment horizontal="right" wrapText="1" shrinkToFi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20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5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37" borderId="15" xfId="0" applyFill="1" applyBorder="1" applyAlignment="1">
      <alignment wrapText="1"/>
    </xf>
    <xf numFmtId="0" fontId="0" fillId="37" borderId="17" xfId="0" applyFill="1" applyBorder="1" applyAlignment="1">
      <alignment wrapText="1"/>
    </xf>
    <xf numFmtId="0" fontId="0" fillId="37" borderId="18" xfId="0" applyFill="1" applyBorder="1" applyAlignment="1">
      <alignment wrapText="1"/>
    </xf>
    <xf numFmtId="0" fontId="0" fillId="37" borderId="20" xfId="0" applyFill="1" applyBorder="1" applyAlignment="1">
      <alignment wrapText="1"/>
    </xf>
    <xf numFmtId="0" fontId="0" fillId="37" borderId="15" xfId="0" applyFont="1" applyFill="1" applyBorder="1" applyAlignment="1">
      <alignment wrapText="1"/>
    </xf>
    <xf numFmtId="0" fontId="0" fillId="37" borderId="17" xfId="0" applyFont="1" applyFill="1" applyBorder="1" applyAlignment="1">
      <alignment wrapText="1"/>
    </xf>
    <xf numFmtId="0" fontId="0" fillId="37" borderId="18" xfId="0" applyFont="1" applyFill="1" applyBorder="1" applyAlignment="1">
      <alignment wrapText="1"/>
    </xf>
    <xf numFmtId="0" fontId="0" fillId="37" borderId="20" xfId="0" applyFont="1" applyFill="1" applyBorder="1" applyAlignment="1">
      <alignment wrapText="1"/>
    </xf>
    <xf numFmtId="0" fontId="0" fillId="37" borderId="11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7" borderId="11" xfId="0" applyFont="1" applyFill="1" applyBorder="1" applyAlignment="1">
      <alignment horizontal="center"/>
    </xf>
    <xf numFmtId="0" fontId="0" fillId="37" borderId="12" xfId="0" applyFont="1" applyFill="1" applyBorder="1" applyAlignment="1">
      <alignment horizontal="center"/>
    </xf>
    <xf numFmtId="0" fontId="0" fillId="37" borderId="15" xfId="0" applyFont="1" applyFill="1" applyBorder="1" applyAlignment="1">
      <alignment wrapText="1"/>
    </xf>
    <xf numFmtId="0" fontId="5" fillId="37" borderId="17" xfId="0" applyFont="1" applyFill="1" applyBorder="1" applyAlignment="1">
      <alignment wrapText="1"/>
    </xf>
    <xf numFmtId="0" fontId="5" fillId="37" borderId="18" xfId="0" applyFont="1" applyFill="1" applyBorder="1" applyAlignment="1">
      <alignment wrapText="1"/>
    </xf>
    <xf numFmtId="0" fontId="5" fillId="37" borderId="20" xfId="0" applyFont="1" applyFill="1" applyBorder="1" applyAlignment="1">
      <alignment wrapText="1"/>
    </xf>
    <xf numFmtId="0" fontId="0" fillId="0" borderId="11" xfId="0" applyFont="1" applyBorder="1" applyAlignment="1">
      <alignment horizontal="center" wrapText="1" shrinkToFit="1"/>
    </xf>
    <xf numFmtId="0" fontId="0" fillId="0" borderId="13" xfId="0" applyBorder="1" applyAlignment="1">
      <alignment horizontal="center" wrapText="1" shrinkToFit="1"/>
    </xf>
    <xf numFmtId="0" fontId="0" fillId="0" borderId="12" xfId="0" applyBorder="1" applyAlignment="1">
      <alignment horizontal="center" wrapText="1" shrinkToFi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17" xfId="0" applyBorder="1" applyAlignment="1">
      <alignment/>
    </xf>
    <xf numFmtId="0" fontId="5" fillId="34" borderId="21" xfId="0" applyFont="1" applyFill="1" applyBorder="1" applyAlignment="1">
      <alignment/>
    </xf>
    <xf numFmtId="2" fontId="5" fillId="34" borderId="21" xfId="0" applyNumberFormat="1" applyFont="1" applyFill="1" applyBorder="1" applyAlignment="1">
      <alignment/>
    </xf>
    <xf numFmtId="0" fontId="68" fillId="0" borderId="1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83"/>
  <sheetViews>
    <sheetView zoomScalePageLayoutView="0" workbookViewId="0" topLeftCell="A1">
      <selection activeCell="X2" sqref="X2"/>
    </sheetView>
  </sheetViews>
  <sheetFormatPr defaultColWidth="9.00390625" defaultRowHeight="12.75"/>
  <cols>
    <col min="5" max="5" width="15.875" style="0" customWidth="1"/>
    <col min="6" max="6" width="8.875" style="6" customWidth="1"/>
    <col min="7" max="7" width="9.50390625" style="6" bestFit="1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00390625" style="0" hidden="1" customWidth="1"/>
    <col min="12" max="12" width="8.875" style="0" hidden="1" customWidth="1"/>
    <col min="13" max="13" width="9.75390625" style="0" hidden="1" customWidth="1"/>
    <col min="14" max="14" width="10.50390625" style="0" hidden="1" customWidth="1"/>
    <col min="15" max="15" width="9.50390625" style="0" hidden="1" customWidth="1"/>
    <col min="16" max="16" width="9.625" style="0" hidden="1" customWidth="1"/>
    <col min="17" max="18" width="9.50390625" style="0" hidden="1" customWidth="1"/>
    <col min="19" max="19" width="8.875" style="0" hidden="1" customWidth="1"/>
    <col min="20" max="20" width="14.00390625" style="9" customWidth="1"/>
    <col min="21" max="21" width="10.625" style="11" customWidth="1"/>
    <col min="24" max="24" width="10.50390625" style="0" bestFit="1" customWidth="1"/>
  </cols>
  <sheetData>
    <row r="2" ht="19.5" customHeight="1">
      <c r="B2" s="5" t="s">
        <v>40</v>
      </c>
    </row>
    <row r="3" spans="2:3" ht="22.5" customHeight="1">
      <c r="B3" s="3"/>
      <c r="C3" s="5" t="s">
        <v>85</v>
      </c>
    </row>
    <row r="5" spans="1:6" ht="12.75">
      <c r="A5" t="s">
        <v>15</v>
      </c>
      <c r="F5" s="6" t="s">
        <v>16</v>
      </c>
    </row>
    <row r="6" spans="1:6" ht="12.75">
      <c r="A6" t="s">
        <v>17</v>
      </c>
      <c r="F6" s="6" t="s">
        <v>18</v>
      </c>
    </row>
    <row r="7" spans="1:6" ht="12.75">
      <c r="A7" t="s">
        <v>24</v>
      </c>
      <c r="F7" s="6" t="s">
        <v>19</v>
      </c>
    </row>
    <row r="8" spans="6:24" ht="12.75">
      <c r="F8" s="6" t="s">
        <v>20</v>
      </c>
      <c r="X8" s="2">
        <f>T17+T20+T21</f>
        <v>1185006.45</v>
      </c>
    </row>
    <row r="9" spans="6:25" ht="12.75">
      <c r="F9" s="6" t="s">
        <v>21</v>
      </c>
      <c r="G9" s="6" t="s">
        <v>22</v>
      </c>
      <c r="X9">
        <f>52992+18000+300+125419.8+5748+2008+1035</f>
        <v>205502.8</v>
      </c>
      <c r="Y9">
        <f>360000+207040+8720.41+8509+20056+30000+21444.67+2787.81+7334</f>
        <v>665891.8900000001</v>
      </c>
    </row>
    <row r="10" ht="12.75">
      <c r="A10" s="4" t="s">
        <v>23</v>
      </c>
    </row>
    <row r="11" ht="12.75" hidden="1"/>
    <row r="12" spans="1:10" ht="21">
      <c r="A12" s="111" t="s">
        <v>0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1" ht="15">
      <c r="A13" s="112" t="s">
        <v>96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ht="3" customHeight="1">
      <c r="J14" s="1"/>
    </row>
    <row r="15" spans="1:20" ht="14.25" customHeight="1">
      <c r="A15" s="113" t="s">
        <v>1</v>
      </c>
      <c r="B15" s="113"/>
      <c r="C15" s="113"/>
      <c r="D15" s="13"/>
      <c r="E15" s="13"/>
      <c r="F15" s="14"/>
      <c r="G15" s="14" t="s">
        <v>89</v>
      </c>
      <c r="H15" s="13" t="s">
        <v>49</v>
      </c>
      <c r="I15" s="13" t="s">
        <v>50</v>
      </c>
      <c r="J15" s="15" t="s">
        <v>51</v>
      </c>
      <c r="K15" s="13" t="s">
        <v>52</v>
      </c>
      <c r="L15" s="13" t="s">
        <v>53</v>
      </c>
      <c r="M15" s="13" t="s">
        <v>54</v>
      </c>
      <c r="N15" s="13" t="s">
        <v>56</v>
      </c>
      <c r="O15" s="13" t="s">
        <v>57</v>
      </c>
      <c r="P15" s="13" t="s">
        <v>58</v>
      </c>
      <c r="Q15" s="13" t="s">
        <v>70</v>
      </c>
      <c r="R15" s="13" t="s">
        <v>71</v>
      </c>
      <c r="S15" s="13" t="s">
        <v>72</v>
      </c>
      <c r="T15" s="16" t="s">
        <v>90</v>
      </c>
    </row>
    <row r="16" spans="1:20" ht="9" customHeight="1">
      <c r="A16" s="13"/>
      <c r="B16" s="13"/>
      <c r="C16" s="13"/>
      <c r="D16" s="13"/>
      <c r="E16" s="13"/>
      <c r="F16" s="14"/>
      <c r="G16" s="14"/>
      <c r="H16" s="13"/>
      <c r="I16" s="13"/>
      <c r="J16" s="15"/>
      <c r="K16" s="13"/>
      <c r="L16" s="13"/>
      <c r="M16" s="13"/>
      <c r="N16" s="13"/>
      <c r="O16" s="13"/>
      <c r="P16" s="13"/>
      <c r="Q16" s="13"/>
      <c r="R16" s="13"/>
      <c r="S16" s="13"/>
      <c r="T16" s="16"/>
    </row>
    <row r="17" spans="1:21" ht="12.75">
      <c r="A17" s="13">
        <v>1</v>
      </c>
      <c r="B17" s="114" t="s">
        <v>2</v>
      </c>
      <c r="C17" s="114"/>
      <c r="D17" s="114"/>
      <c r="E17" s="114"/>
      <c r="F17" s="110">
        <v>1153560</v>
      </c>
      <c r="G17" s="110"/>
      <c r="H17" s="13">
        <f>5430+3000+14000+4800+54400+2500+4500</f>
        <v>88630</v>
      </c>
      <c r="I17" s="13">
        <f>14000+3000+4800+54400+5430+15000+2500+4500</f>
        <v>103630</v>
      </c>
      <c r="J17" s="15">
        <f>54400+14000+5430+3000+2500+4500</f>
        <v>83830</v>
      </c>
      <c r="K17" s="13">
        <f>14000+54400+4800+3000+15000+5430+4500</f>
        <v>101130</v>
      </c>
      <c r="L17" s="13">
        <f>54400+14000+3000+5430+4800+2500+4500</f>
        <v>88630</v>
      </c>
      <c r="M17" s="13">
        <f>14000+3000+54400+5430+15000+2500+4500</f>
        <v>98830</v>
      </c>
      <c r="N17" s="13">
        <f>14000+5430+3000+9600+54400+4800+14000+4500</f>
        <v>109730</v>
      </c>
      <c r="O17" s="13">
        <f>54400+3000+15000+5430+2500+4500</f>
        <v>84830</v>
      </c>
      <c r="P17" s="13">
        <f>54400+3000+5430+14000+4800+2500+4500</f>
        <v>88630</v>
      </c>
      <c r="Q17" s="13">
        <f>54400+3000+14000+9930+4800+15000+2500</f>
        <v>103630</v>
      </c>
      <c r="R17" s="13">
        <f>4800+3000+54400+14000+9930+2500</f>
        <v>88630</v>
      </c>
      <c r="S17" s="13">
        <f>3000+4800+54400+14000+15000+9930+14000</f>
        <v>115130</v>
      </c>
      <c r="T17" s="29">
        <f>H17+I17+J17+K17+L17+M17+N17+O17+P17+Q17+R17+S17</f>
        <v>1155260</v>
      </c>
      <c r="U17" s="34">
        <f>F17-T17</f>
        <v>-1700</v>
      </c>
    </row>
    <row r="18" spans="1:21" ht="12.75">
      <c r="A18" s="13">
        <v>2</v>
      </c>
      <c r="B18" s="114" t="s">
        <v>3</v>
      </c>
      <c r="C18" s="114"/>
      <c r="D18" s="114"/>
      <c r="E18" s="114"/>
      <c r="F18" s="110">
        <v>1521893</v>
      </c>
      <c r="G18" s="110"/>
      <c r="H18" s="13">
        <f>15072.95+74552.37</f>
        <v>89625.31999999999</v>
      </c>
      <c r="I18" s="13">
        <f>23923.96+89255.23</f>
        <v>113179.19</v>
      </c>
      <c r="J18" s="15">
        <f>18285.51+126337.63</f>
        <v>144623.14</v>
      </c>
      <c r="K18" s="13">
        <f>18151.18+91083.13</f>
        <v>109234.31</v>
      </c>
      <c r="L18" s="13">
        <f>19032.85+90270.88</f>
        <v>109303.73000000001</v>
      </c>
      <c r="M18" s="13">
        <f>14878.34+107571.71</f>
        <v>122450.05</v>
      </c>
      <c r="N18" s="13">
        <f>17768.88+96621.78</f>
        <v>114390.66</v>
      </c>
      <c r="O18" s="13">
        <f>16960.95+114871.75</f>
        <v>131832.7</v>
      </c>
      <c r="P18" s="13">
        <f>14505.87+106985.73</f>
        <v>121491.59999999999</v>
      </c>
      <c r="Q18" s="13">
        <f>17338.08+116367.67</f>
        <v>133705.75</v>
      </c>
      <c r="R18" s="13">
        <f>19239.79+119685.74</f>
        <v>138925.53</v>
      </c>
      <c r="S18" s="13">
        <f>17086.12+112223.12+118186.33</f>
        <v>247495.57</v>
      </c>
      <c r="T18" s="29">
        <f>H18+I18+J18+K18+L18+M18+N18+O18+P18+Q18+R18+S18</f>
        <v>1576257.5500000003</v>
      </c>
      <c r="U18" s="34">
        <f>F18-T18</f>
        <v>-54364.55000000028</v>
      </c>
    </row>
    <row r="19" spans="1:21" ht="12.75">
      <c r="A19" s="13">
        <v>3</v>
      </c>
      <c r="B19" s="114" t="s">
        <v>4</v>
      </c>
      <c r="C19" s="114"/>
      <c r="D19" s="114"/>
      <c r="E19" s="114"/>
      <c r="F19" s="110">
        <v>217060</v>
      </c>
      <c r="G19" s="110"/>
      <c r="H19" s="13">
        <f>13126.39</f>
        <v>13126.39</v>
      </c>
      <c r="I19" s="13">
        <v>14473.12</v>
      </c>
      <c r="J19" s="15">
        <v>19996.08</v>
      </c>
      <c r="K19" s="13">
        <v>15715.02</v>
      </c>
      <c r="L19" s="13">
        <v>16372.55</v>
      </c>
      <c r="M19" s="13">
        <v>17714.58</v>
      </c>
      <c r="N19" s="13">
        <v>15860.27</v>
      </c>
      <c r="O19" s="13">
        <v>18794.45</v>
      </c>
      <c r="P19" s="13">
        <v>17567.89</v>
      </c>
      <c r="Q19" s="13">
        <v>18919.11</v>
      </c>
      <c r="R19" s="13">
        <v>19807.36</v>
      </c>
      <c r="S19" s="13">
        <f>18360.01+1250.27</f>
        <v>19610.28</v>
      </c>
      <c r="T19" s="29">
        <f>H19+I19+J19+K19+L19+M19+N19+O19+P19+Q19+R19+S19</f>
        <v>207957.1</v>
      </c>
      <c r="U19" s="34">
        <f>F19-T19</f>
        <v>9102.899999999994</v>
      </c>
    </row>
    <row r="20" spans="1:21" ht="12.75">
      <c r="A20" s="13">
        <v>4</v>
      </c>
      <c r="B20" s="17" t="s">
        <v>27</v>
      </c>
      <c r="C20" s="17"/>
      <c r="D20" s="17"/>
      <c r="E20" s="17"/>
      <c r="F20" s="18"/>
      <c r="G20" s="18">
        <f>53036</f>
        <v>53036</v>
      </c>
      <c r="H20" s="13">
        <f>552+700</f>
        <v>1252</v>
      </c>
      <c r="I20" s="13">
        <f>392.1</f>
        <v>392.1</v>
      </c>
      <c r="J20" s="15">
        <f>2400+1600+371.8+2400</f>
        <v>6771.8</v>
      </c>
      <c r="K20" s="13">
        <f>270.4+304.2+1175</f>
        <v>1749.6</v>
      </c>
      <c r="L20" s="13">
        <f>1600+439.4+2400</f>
        <v>4439.4</v>
      </c>
      <c r="M20" s="13">
        <f>574.6+323</f>
        <v>897.6</v>
      </c>
      <c r="N20" s="13">
        <f>1600+338</f>
        <v>1938</v>
      </c>
      <c r="O20" s="13"/>
      <c r="P20" s="13">
        <f>503.62</f>
        <v>503.62</v>
      </c>
      <c r="Q20" s="13">
        <f>405.6+3200+338</f>
        <v>3943.6</v>
      </c>
      <c r="R20" s="13">
        <f>338</f>
        <v>338</v>
      </c>
      <c r="S20" s="13">
        <f>155.48</f>
        <v>155.48</v>
      </c>
      <c r="T20" s="29">
        <f>H20+I20+J20+K20+L20+M20+N20+O20+P20+Q20+R20+S20</f>
        <v>22381.199999999997</v>
      </c>
      <c r="U20" s="34">
        <f>G20-T20</f>
        <v>30654.800000000003</v>
      </c>
    </row>
    <row r="21" spans="1:21" ht="12.75">
      <c r="A21" s="13">
        <v>5</v>
      </c>
      <c r="B21" s="115" t="s">
        <v>5</v>
      </c>
      <c r="C21" s="115"/>
      <c r="D21" s="115"/>
      <c r="E21" s="115"/>
      <c r="F21" s="110">
        <v>10000</v>
      </c>
      <c r="G21" s="110"/>
      <c r="H21" s="13">
        <f>929.78</f>
        <v>929.78</v>
      </c>
      <c r="I21" s="13">
        <v>945.11</v>
      </c>
      <c r="J21" s="15">
        <f>745.91</f>
        <v>745.91</v>
      </c>
      <c r="K21" s="13">
        <v>815.53</v>
      </c>
      <c r="L21" s="13">
        <v>727.4</v>
      </c>
      <c r="M21" s="13">
        <v>650.69</v>
      </c>
      <c r="N21" s="13">
        <v>551.01</v>
      </c>
      <c r="O21" s="13">
        <v>490.16</v>
      </c>
      <c r="P21" s="13">
        <v>478.96</v>
      </c>
      <c r="Q21" s="13"/>
      <c r="R21" s="13">
        <v>486.29</v>
      </c>
      <c r="S21" s="13">
        <v>544.41</v>
      </c>
      <c r="T21" s="29">
        <f>H21+I21+J21+K21+L21+M21+N21+O21+P21+Q21+R21+S21</f>
        <v>7365.25</v>
      </c>
      <c r="U21" s="34">
        <f>F21-T21</f>
        <v>2634.75</v>
      </c>
    </row>
    <row r="22" spans="1:21" ht="12.75">
      <c r="A22" s="13">
        <v>6</v>
      </c>
      <c r="B22" s="115" t="s">
        <v>25</v>
      </c>
      <c r="C22" s="115"/>
      <c r="D22" s="115"/>
      <c r="E22" s="115"/>
      <c r="F22" s="110">
        <v>903.14</v>
      </c>
      <c r="G22" s="110"/>
      <c r="H22" s="13"/>
      <c r="I22" s="13"/>
      <c r="J22" s="15"/>
      <c r="K22" s="13"/>
      <c r="L22" s="13"/>
      <c r="M22" s="13"/>
      <c r="N22" s="13"/>
      <c r="O22" s="13"/>
      <c r="P22" s="13"/>
      <c r="Q22" s="13"/>
      <c r="R22" s="13"/>
      <c r="S22" s="13"/>
      <c r="T22" s="29">
        <v>903.14</v>
      </c>
      <c r="U22" s="34"/>
    </row>
    <row r="23" spans="1:21" ht="12.75">
      <c r="A23" s="13">
        <v>7</v>
      </c>
      <c r="B23" s="19" t="s">
        <v>26</v>
      </c>
      <c r="C23" s="19"/>
      <c r="D23" s="19"/>
      <c r="E23" s="19"/>
      <c r="F23" s="110">
        <v>2290973.55</v>
      </c>
      <c r="G23" s="110"/>
      <c r="H23" s="13"/>
      <c r="I23" s="13"/>
      <c r="J23" s="20"/>
      <c r="K23" s="13"/>
      <c r="L23" s="13"/>
      <c r="M23" s="13"/>
      <c r="N23" s="13"/>
      <c r="O23" s="13"/>
      <c r="P23" s="13"/>
      <c r="Q23" s="13"/>
      <c r="R23" s="13"/>
      <c r="S23" s="13"/>
      <c r="T23" s="29">
        <v>2290973.55</v>
      </c>
      <c r="U23" s="34" t="s">
        <v>73</v>
      </c>
    </row>
    <row r="24" spans="1:21" ht="12.75">
      <c r="A24" s="13"/>
      <c r="B24" s="116" t="s">
        <v>6</v>
      </c>
      <c r="C24" s="116"/>
      <c r="D24" s="116"/>
      <c r="E24" s="116"/>
      <c r="F24" s="110">
        <f>SUM(F17:F23)</f>
        <v>5194389.6899999995</v>
      </c>
      <c r="G24" s="110"/>
      <c r="H24" s="21">
        <f aca="true" t="shared" si="0" ref="H24:P24">SUM(H17:H23)</f>
        <v>193563.49000000002</v>
      </c>
      <c r="I24" s="21">
        <f t="shared" si="0"/>
        <v>232619.52</v>
      </c>
      <c r="J24" s="21">
        <f t="shared" si="0"/>
        <v>255966.93000000002</v>
      </c>
      <c r="K24" s="21">
        <f t="shared" si="0"/>
        <v>228644.46</v>
      </c>
      <c r="L24" s="21">
        <f t="shared" si="0"/>
        <v>219473.08</v>
      </c>
      <c r="M24" s="21">
        <f t="shared" si="0"/>
        <v>240542.92</v>
      </c>
      <c r="N24" s="21">
        <f t="shared" si="0"/>
        <v>242469.94</v>
      </c>
      <c r="O24" s="21">
        <f t="shared" si="0"/>
        <v>235947.31000000003</v>
      </c>
      <c r="P24" s="21">
        <f t="shared" si="0"/>
        <v>228672.06999999998</v>
      </c>
      <c r="Q24" s="21">
        <f>SUM(Q17:Q23)</f>
        <v>260198.46</v>
      </c>
      <c r="R24" s="21">
        <f>SUM(R17:R23)</f>
        <v>248187.18000000002</v>
      </c>
      <c r="S24" s="21">
        <f>SUM(S17:S23)</f>
        <v>382935.73999999993</v>
      </c>
      <c r="T24" s="29">
        <f>H24+I24+J24+K24+L24+M24+N24+O24+P24+Q24+R24+S24+T23+T22</f>
        <v>5261097.79</v>
      </c>
      <c r="U24" s="34">
        <f>F24-T24</f>
        <v>-66708.10000000056</v>
      </c>
    </row>
    <row r="25" spans="1:21" ht="6" customHeight="1">
      <c r="A25" s="13"/>
      <c r="B25" s="13"/>
      <c r="C25" s="13"/>
      <c r="D25" s="13"/>
      <c r="E25" s="13"/>
      <c r="F25" s="14"/>
      <c r="G25" s="14"/>
      <c r="H25" s="13"/>
      <c r="I25" s="13"/>
      <c r="J25" s="20"/>
      <c r="K25" s="13"/>
      <c r="L25" s="13"/>
      <c r="M25" s="13"/>
      <c r="N25" s="13"/>
      <c r="O25" s="13"/>
      <c r="P25" s="13"/>
      <c r="Q25" s="13"/>
      <c r="R25" s="13"/>
      <c r="S25" s="13"/>
      <c r="T25" s="16"/>
      <c r="U25" s="28"/>
    </row>
    <row r="26" spans="1:21" ht="15" customHeight="1">
      <c r="A26" s="113" t="s">
        <v>7</v>
      </c>
      <c r="B26" s="113"/>
      <c r="C26" s="113"/>
      <c r="D26" s="13"/>
      <c r="E26" s="13"/>
      <c r="F26" s="14"/>
      <c r="G26" s="14"/>
      <c r="H26" s="13" t="s">
        <v>49</v>
      </c>
      <c r="I26" s="13"/>
      <c r="J26" s="20"/>
      <c r="K26" s="13"/>
      <c r="L26" s="13"/>
      <c r="M26" s="13"/>
      <c r="N26" s="13"/>
      <c r="O26" s="13"/>
      <c r="P26" s="13"/>
      <c r="Q26" s="13"/>
      <c r="R26" s="13"/>
      <c r="S26" s="13"/>
      <c r="T26" s="16"/>
      <c r="U26" s="28"/>
    </row>
    <row r="27" spans="1:21" ht="8.25" customHeight="1">
      <c r="A27" s="13"/>
      <c r="B27" s="13"/>
      <c r="C27" s="13"/>
      <c r="D27" s="13"/>
      <c r="E27" s="13"/>
      <c r="F27" s="14"/>
      <c r="G27" s="14"/>
      <c r="H27" s="13"/>
      <c r="I27" s="13"/>
      <c r="J27" s="20"/>
      <c r="K27" s="13"/>
      <c r="L27" s="13"/>
      <c r="M27" s="13"/>
      <c r="N27" s="13"/>
      <c r="O27" s="13"/>
      <c r="P27" s="13"/>
      <c r="Q27" s="13"/>
      <c r="R27" s="13"/>
      <c r="S27" s="13"/>
      <c r="T27" s="16"/>
      <c r="U27" s="28"/>
    </row>
    <row r="28" spans="1:21" ht="12.75">
      <c r="A28" s="13">
        <v>1</v>
      </c>
      <c r="B28" s="114" t="s">
        <v>8</v>
      </c>
      <c r="C28" s="114"/>
      <c r="D28" s="114"/>
      <c r="E28" s="114"/>
      <c r="F28" s="110">
        <v>877690</v>
      </c>
      <c r="G28" s="110"/>
      <c r="H28" s="20">
        <f>59600</f>
        <v>59600</v>
      </c>
      <c r="I28" s="20">
        <f>69940</f>
        <v>69940</v>
      </c>
      <c r="J28" s="20">
        <f>4000+3001+64020-15500</f>
        <v>55521</v>
      </c>
      <c r="K28" s="32">
        <f>69240</f>
        <v>69240</v>
      </c>
      <c r="L28" s="20">
        <f>10005+4000+8000+66630+3045-4598-4598</f>
        <v>82484</v>
      </c>
      <c r="M28" s="20">
        <f>7865+66630</f>
        <v>74495</v>
      </c>
      <c r="N28" s="20">
        <f>9307+5454+66917</f>
        <v>81678</v>
      </c>
      <c r="O28" s="20">
        <f>30216+30000+42000+70104-103960</f>
        <v>68360</v>
      </c>
      <c r="P28" s="20">
        <f>9000+72630</f>
        <v>81630</v>
      </c>
      <c r="Q28" s="20">
        <v>72630</v>
      </c>
      <c r="R28" s="20">
        <f>4000+20000+78230-22989</f>
        <v>79241</v>
      </c>
      <c r="S28" s="20">
        <f>10000+70561</f>
        <v>80561</v>
      </c>
      <c r="T28" s="29">
        <f>H28+I28+J28+K28+L28+M28+N28+O28+P28+Q28+R28+S28</f>
        <v>875380</v>
      </c>
      <c r="U28" s="27">
        <f>F28-T28</f>
        <v>2310</v>
      </c>
    </row>
    <row r="29" spans="1:21" ht="12.75">
      <c r="A29" s="13">
        <v>2</v>
      </c>
      <c r="B29" s="17" t="s">
        <v>48</v>
      </c>
      <c r="C29" s="17"/>
      <c r="D29" s="17"/>
      <c r="E29" s="17"/>
      <c r="F29" s="110">
        <v>70000</v>
      </c>
      <c r="G29" s="109"/>
      <c r="H29" s="13"/>
      <c r="I29" s="13"/>
      <c r="J29" s="15">
        <f>15500</f>
        <v>15500</v>
      </c>
      <c r="K29" s="22"/>
      <c r="L29" s="13"/>
      <c r="M29" s="13"/>
      <c r="N29" s="13"/>
      <c r="O29" s="13"/>
      <c r="P29" s="13"/>
      <c r="Q29" s="13"/>
      <c r="R29" s="13"/>
      <c r="S29" s="13"/>
      <c r="T29" s="29">
        <f aca="true" t="shared" si="1" ref="T29:T52">H29+I29+J29+K29+L29+M29+N29+O29+P29+Q29+R29+S29</f>
        <v>15500</v>
      </c>
      <c r="U29" s="27">
        <f>F29-T29</f>
        <v>54500</v>
      </c>
    </row>
    <row r="30" spans="1:21" ht="12.75">
      <c r="A30" s="13">
        <f>A29+1</f>
        <v>3</v>
      </c>
      <c r="B30" s="114" t="s">
        <v>9</v>
      </c>
      <c r="C30" s="114"/>
      <c r="D30" s="114"/>
      <c r="E30" s="114"/>
      <c r="F30" s="110">
        <v>324110</v>
      </c>
      <c r="G30" s="110"/>
      <c r="H30" s="20">
        <f>1252+1788+14168+5200</f>
        <v>22408</v>
      </c>
      <c r="I30" s="20">
        <f>596+0.7+8.3+52.9+756+803+2168+16663</f>
        <v>21047.9</v>
      </c>
      <c r="J30" s="20">
        <f>630+1429+1509+2215+17073</f>
        <v>22856</v>
      </c>
      <c r="K30" s="20">
        <f>1400+1410+2030+2171+16795</f>
        <v>23806</v>
      </c>
      <c r="L30" s="20">
        <f>1862+2700+2887+22800+1410</f>
        <v>31659</v>
      </c>
      <c r="M30" s="20">
        <f>70+102+108+911+1027+1295+1410+1553+12102</f>
        <v>18578</v>
      </c>
      <c r="N30" s="20">
        <f>1539+1890+2248.54+2283+18133</f>
        <v>26093.54</v>
      </c>
      <c r="O30" s="20">
        <f>3340+4864+5078+7151+36320-7192.32</f>
        <v>49560.68</v>
      </c>
      <c r="P30" s="20">
        <f>1563+1780+2288+2324+18601</f>
        <v>26556</v>
      </c>
      <c r="Q30" s="20">
        <f>1355+1769+1987+2002+15910</f>
        <v>23023</v>
      </c>
      <c r="R30" s="20">
        <f>1770+1918+2802+2874+23215</f>
        <v>32579</v>
      </c>
      <c r="S30" s="20">
        <f>1518+1770+2221+2256+18010</f>
        <v>25775</v>
      </c>
      <c r="T30" s="29">
        <f t="shared" si="1"/>
        <v>323942.12</v>
      </c>
      <c r="U30" s="27">
        <f aca="true" t="shared" si="2" ref="U30:U51">F30-T30</f>
        <v>167.88000000000466</v>
      </c>
    </row>
    <row r="31" spans="1:21" ht="12.75">
      <c r="A31" s="13">
        <f aca="true" t="shared" si="3" ref="A31:A51">A30+1</f>
        <v>4</v>
      </c>
      <c r="B31" s="114" t="s">
        <v>10</v>
      </c>
      <c r="C31" s="114"/>
      <c r="D31" s="114"/>
      <c r="E31" s="114"/>
      <c r="F31" s="110">
        <v>104746</v>
      </c>
      <c r="G31" s="110"/>
      <c r="H31" s="20">
        <v>7748</v>
      </c>
      <c r="I31" s="20">
        <v>9092</v>
      </c>
      <c r="J31" s="20">
        <v>9291</v>
      </c>
      <c r="K31" s="20">
        <v>9103</v>
      </c>
      <c r="L31" s="20">
        <v>12105</v>
      </c>
      <c r="M31" s="20">
        <v>8713</v>
      </c>
      <c r="N31" s="20">
        <v>10669</v>
      </c>
      <c r="O31" s="20">
        <f>22387-28362</f>
        <v>-5975</v>
      </c>
      <c r="P31" s="20">
        <v>10838</v>
      </c>
      <c r="Q31" s="20">
        <v>9493</v>
      </c>
      <c r="R31" s="20">
        <v>13145</v>
      </c>
      <c r="S31" s="20">
        <v>10524</v>
      </c>
      <c r="T31" s="29">
        <f t="shared" si="1"/>
        <v>104746</v>
      </c>
      <c r="U31" s="27">
        <f t="shared" si="2"/>
        <v>0</v>
      </c>
    </row>
    <row r="32" spans="1:21" ht="12.75">
      <c r="A32" s="13">
        <f t="shared" si="3"/>
        <v>5</v>
      </c>
      <c r="B32" s="115" t="s">
        <v>60</v>
      </c>
      <c r="C32" s="115"/>
      <c r="D32" s="115"/>
      <c r="E32" s="115"/>
      <c r="F32" s="110">
        <v>176806</v>
      </c>
      <c r="G32" s="110"/>
      <c r="H32" s="13"/>
      <c r="I32" s="13"/>
      <c r="J32" s="20">
        <v>15148</v>
      </c>
      <c r="K32" s="20">
        <v>18500</v>
      </c>
      <c r="L32" s="13"/>
      <c r="M32" s="13"/>
      <c r="N32" s="13"/>
      <c r="O32" s="13"/>
      <c r="P32" s="13"/>
      <c r="Q32" s="13"/>
      <c r="R32" s="13"/>
      <c r="S32" s="13"/>
      <c r="T32" s="29">
        <f t="shared" si="1"/>
        <v>33648</v>
      </c>
      <c r="U32" s="27">
        <f t="shared" si="2"/>
        <v>143158</v>
      </c>
    </row>
    <row r="33" spans="1:21" ht="12.75">
      <c r="A33" s="13">
        <f t="shared" si="3"/>
        <v>6</v>
      </c>
      <c r="B33" s="115" t="s">
        <v>11</v>
      </c>
      <c r="C33" s="115"/>
      <c r="D33" s="115"/>
      <c r="E33" s="115"/>
      <c r="F33" s="110">
        <v>80000</v>
      </c>
      <c r="G33" s="110"/>
      <c r="H33" s="13"/>
      <c r="I33" s="13"/>
      <c r="J33" s="15"/>
      <c r="K33" s="20">
        <f>6056.96</f>
        <v>6056.96</v>
      </c>
      <c r="L33" s="20">
        <v>5195.06</v>
      </c>
      <c r="M33" s="20">
        <v>10900</v>
      </c>
      <c r="N33" s="20">
        <v>4346.71</v>
      </c>
      <c r="O33" s="20">
        <f>4600+3800</f>
        <v>8400</v>
      </c>
      <c r="P33" s="20">
        <v>5138.3</v>
      </c>
      <c r="Q33" s="20">
        <v>5103.73</v>
      </c>
      <c r="R33" s="20">
        <v>3728.14</v>
      </c>
      <c r="S33" s="20">
        <v>6665.36</v>
      </c>
      <c r="T33" s="29">
        <f t="shared" si="1"/>
        <v>55534.259999999995</v>
      </c>
      <c r="U33" s="27">
        <f t="shared" si="2"/>
        <v>24465.740000000005</v>
      </c>
    </row>
    <row r="34" spans="1:21" ht="12.75">
      <c r="A34" s="13">
        <f t="shared" si="3"/>
        <v>7</v>
      </c>
      <c r="B34" s="115" t="s">
        <v>12</v>
      </c>
      <c r="C34" s="115"/>
      <c r="D34" s="115"/>
      <c r="E34" s="115"/>
      <c r="F34" s="110">
        <v>10000</v>
      </c>
      <c r="G34" s="110"/>
      <c r="H34" s="20">
        <f>615.37+53.86</f>
        <v>669.23</v>
      </c>
      <c r="I34" s="20">
        <f>673.54+50.16</f>
        <v>723.6999999999999</v>
      </c>
      <c r="J34" s="20">
        <f>83.86</f>
        <v>83.86</v>
      </c>
      <c r="K34" s="20">
        <f>656.67+649.06+72.74</f>
        <v>1378.47</v>
      </c>
      <c r="L34" s="20">
        <f>69.66+731.44</f>
        <v>801.1</v>
      </c>
      <c r="M34" s="20">
        <f>66.04+631.3</f>
        <v>697.3399999999999</v>
      </c>
      <c r="N34" s="20">
        <f>89.76+669.36</f>
        <v>759.12</v>
      </c>
      <c r="O34" s="20">
        <f>91.6+633.84</f>
        <v>725.44</v>
      </c>
      <c r="P34" s="20">
        <f>676.97</f>
        <v>676.97</v>
      </c>
      <c r="Q34" s="20">
        <f>49.99+643.99</f>
        <v>693.98</v>
      </c>
      <c r="R34" s="20">
        <f>100.43+656.67</f>
        <v>757.0999999999999</v>
      </c>
      <c r="S34" s="20">
        <f>107.58+646.52</f>
        <v>754.1</v>
      </c>
      <c r="T34" s="29">
        <f t="shared" si="1"/>
        <v>8720.410000000002</v>
      </c>
      <c r="U34" s="27">
        <f t="shared" si="2"/>
        <v>1279.5899999999983</v>
      </c>
    </row>
    <row r="35" spans="1:21" ht="12.75">
      <c r="A35" s="13">
        <f t="shared" si="3"/>
        <v>8</v>
      </c>
      <c r="B35" s="115" t="s">
        <v>13</v>
      </c>
      <c r="C35" s="115"/>
      <c r="D35" s="115"/>
      <c r="E35" s="115"/>
      <c r="F35" s="110">
        <v>55000</v>
      </c>
      <c r="G35" s="110"/>
      <c r="H35" s="20">
        <f>1250+95+15+1600+50+50+1000</f>
        <v>4060</v>
      </c>
      <c r="I35" s="20">
        <f>50+30+2100+50+15+1000+1800+65+1000</f>
        <v>6110</v>
      </c>
      <c r="J35" s="20">
        <f>115+650+15+1250+65+1450+50+50+1300+1400+1000</f>
        <v>7345</v>
      </c>
      <c r="K35" s="20">
        <f>95+1200+65+50+100+65+1000+850+15+65+700+1000</f>
        <v>5205</v>
      </c>
      <c r="L35" s="20">
        <f>65+1000+15+65+30+1000+1000</f>
        <v>3175</v>
      </c>
      <c r="M35" s="20">
        <f>50+50+115+1300+15+800+50+30+65+950+50+1250+50+100+900+65+1000</f>
        <v>6840</v>
      </c>
      <c r="N35" s="20">
        <f>65+130+1000+15+50+1450+50+95+100+600+1000</f>
        <v>4555</v>
      </c>
      <c r="O35" s="20">
        <f>15+700+750+1150+175+130+800+165+850+1000</f>
        <v>5735</v>
      </c>
      <c r="P35" s="20">
        <f>15.3+84.7+91.52+300+508.48+115+650+15+1350+100+30+1000+65+1200+100+30+1000</f>
        <v>6655</v>
      </c>
      <c r="Q35" s="20">
        <f>15+1100+50+65+1500+15+30+1150+65+800+200+1000+1400</f>
        <v>7390</v>
      </c>
      <c r="R35" s="20">
        <f>15+130+1300+30+700+80+850+700+50+1100+1000</f>
        <v>5955</v>
      </c>
      <c r="S35" s="20">
        <f>45+750+150+1000+15+1100+130+165+1000+1000</f>
        <v>5355</v>
      </c>
      <c r="T35" s="29">
        <f t="shared" si="1"/>
        <v>68380</v>
      </c>
      <c r="U35" s="27">
        <f t="shared" si="2"/>
        <v>-13380</v>
      </c>
    </row>
    <row r="36" spans="1:21" ht="12.75">
      <c r="A36" s="13">
        <f t="shared" si="3"/>
        <v>9</v>
      </c>
      <c r="B36" s="115" t="s">
        <v>28</v>
      </c>
      <c r="C36" s="115"/>
      <c r="D36" s="115"/>
      <c r="E36" s="115"/>
      <c r="F36" s="110">
        <v>30000</v>
      </c>
      <c r="G36" s="110"/>
      <c r="H36" s="13"/>
      <c r="I36" s="13"/>
      <c r="J36" s="20">
        <f>534.6</f>
        <v>534.6</v>
      </c>
      <c r="K36" s="23"/>
      <c r="L36" s="13"/>
      <c r="M36" s="20">
        <f>444+25000</f>
        <v>25444</v>
      </c>
      <c r="N36" s="13"/>
      <c r="O36" s="13"/>
      <c r="P36" s="20">
        <f>444</f>
        <v>444</v>
      </c>
      <c r="Q36" s="13"/>
      <c r="R36" s="13"/>
      <c r="S36" s="13"/>
      <c r="T36" s="29">
        <f t="shared" si="1"/>
        <v>26422.6</v>
      </c>
      <c r="U36" s="27">
        <f t="shared" si="2"/>
        <v>3577.4000000000015</v>
      </c>
    </row>
    <row r="37" spans="1:21" ht="12.75">
      <c r="A37" s="13">
        <f t="shared" si="3"/>
        <v>10</v>
      </c>
      <c r="B37" s="115" t="s">
        <v>29</v>
      </c>
      <c r="C37" s="115"/>
      <c r="D37" s="115"/>
      <c r="E37" s="115"/>
      <c r="F37" s="117">
        <v>50000</v>
      </c>
      <c r="G37" s="117"/>
      <c r="H37" s="20">
        <v>7499.15</v>
      </c>
      <c r="I37" s="13"/>
      <c r="J37" s="20">
        <v>3105</v>
      </c>
      <c r="K37" s="20">
        <f>3672.53+8273.24+3000-1150</f>
        <v>13795.77</v>
      </c>
      <c r="L37" s="20">
        <f>833.43+3000</f>
        <v>3833.43</v>
      </c>
      <c r="M37" s="20">
        <f>2895.67</f>
        <v>2895.67</v>
      </c>
      <c r="N37" s="20">
        <f>8320+3000+725.25+40000</f>
        <v>52045.25</v>
      </c>
      <c r="O37" s="20">
        <f>5815+15000+1270</f>
        <v>22085</v>
      </c>
      <c r="P37" s="20">
        <f>426+2990+3042.8+1225-0.2-3000</f>
        <v>4683.6</v>
      </c>
      <c r="Q37" s="13"/>
      <c r="R37" s="20">
        <f>350+1980+30000-30000-14000</f>
        <v>-11670</v>
      </c>
      <c r="S37" s="20">
        <f>454.45+1000</f>
        <v>1454.45</v>
      </c>
      <c r="T37" s="29">
        <f t="shared" si="1"/>
        <v>99727.31999999999</v>
      </c>
      <c r="U37" s="27">
        <f t="shared" si="2"/>
        <v>-49727.31999999999</v>
      </c>
    </row>
    <row r="38" spans="1:21" ht="12.75">
      <c r="A38" s="13">
        <f t="shared" si="3"/>
        <v>11</v>
      </c>
      <c r="B38" s="115" t="s">
        <v>30</v>
      </c>
      <c r="C38" s="115"/>
      <c r="D38" s="115"/>
      <c r="E38" s="115"/>
      <c r="F38" s="117">
        <v>10000</v>
      </c>
      <c r="G38" s="117"/>
      <c r="H38" s="20">
        <v>7422.18</v>
      </c>
      <c r="I38" s="13"/>
      <c r="J38" s="15"/>
      <c r="K38" s="23"/>
      <c r="L38" s="13" t="s">
        <v>73</v>
      </c>
      <c r="M38" s="13"/>
      <c r="N38" s="13"/>
      <c r="O38" s="13" t="s">
        <v>73</v>
      </c>
      <c r="P38" s="20">
        <f>11189.4+8749</f>
        <v>19938.4</v>
      </c>
      <c r="Q38" s="13"/>
      <c r="R38" s="13">
        <v>-17360.58</v>
      </c>
      <c r="S38" s="13"/>
      <c r="T38" s="29">
        <f>H38+P38+R38</f>
        <v>10000</v>
      </c>
      <c r="U38" s="27">
        <f t="shared" si="2"/>
        <v>0</v>
      </c>
    </row>
    <row r="39" spans="1:21" ht="12.75">
      <c r="A39" s="13">
        <f t="shared" si="3"/>
        <v>12</v>
      </c>
      <c r="B39" s="115" t="s">
        <v>88</v>
      </c>
      <c r="C39" s="115"/>
      <c r="D39" s="115"/>
      <c r="E39" s="115"/>
      <c r="F39" s="117">
        <v>670000</v>
      </c>
      <c r="G39" s="117"/>
      <c r="H39" s="13"/>
      <c r="I39" s="13"/>
      <c r="J39" s="15"/>
      <c r="K39" s="23"/>
      <c r="L39" s="13"/>
      <c r="M39" s="20">
        <f>35000</f>
        <v>35000</v>
      </c>
      <c r="N39" s="32">
        <f>35000+300000</f>
        <v>335000</v>
      </c>
      <c r="O39" s="32">
        <f>291695.71</f>
        <v>291695.71</v>
      </c>
      <c r="P39" s="13"/>
      <c r="Q39" s="13"/>
      <c r="R39" s="13">
        <f>22989</f>
        <v>22989</v>
      </c>
      <c r="S39" s="13"/>
      <c r="T39" s="29">
        <f t="shared" si="1"/>
        <v>684684.71</v>
      </c>
      <c r="U39" s="27">
        <f t="shared" si="2"/>
        <v>-14684.709999999963</v>
      </c>
    </row>
    <row r="40" spans="1:21" ht="12.75">
      <c r="A40" s="13">
        <f t="shared" si="3"/>
        <v>13</v>
      </c>
      <c r="B40" s="115" t="s">
        <v>31</v>
      </c>
      <c r="C40" s="115"/>
      <c r="D40" s="115"/>
      <c r="E40" s="115"/>
      <c r="F40" s="110">
        <v>170000</v>
      </c>
      <c r="G40" s="110"/>
      <c r="H40" s="13"/>
      <c r="I40" s="13"/>
      <c r="J40" s="15"/>
      <c r="K40" s="23"/>
      <c r="L40" s="13"/>
      <c r="M40" s="20">
        <v>170485</v>
      </c>
      <c r="N40" s="13"/>
      <c r="O40" s="13"/>
      <c r="P40" s="13"/>
      <c r="Q40" s="13"/>
      <c r="R40" s="13"/>
      <c r="S40" s="13"/>
      <c r="T40" s="29">
        <f t="shared" si="1"/>
        <v>170485</v>
      </c>
      <c r="U40" s="27">
        <f t="shared" si="2"/>
        <v>-485</v>
      </c>
    </row>
    <row r="41" spans="1:21" ht="12.75">
      <c r="A41" s="13">
        <f t="shared" si="3"/>
        <v>14</v>
      </c>
      <c r="B41" s="115" t="s">
        <v>32</v>
      </c>
      <c r="C41" s="115"/>
      <c r="D41" s="115"/>
      <c r="E41" s="115"/>
      <c r="F41" s="117">
        <v>50000</v>
      </c>
      <c r="G41" s="117"/>
      <c r="H41" s="13"/>
      <c r="I41" s="13"/>
      <c r="J41" s="15"/>
      <c r="K41" s="23">
        <f>1150</f>
        <v>1150</v>
      </c>
      <c r="L41" s="13">
        <v>4598</v>
      </c>
      <c r="M41" s="13"/>
      <c r="N41" s="13"/>
      <c r="O41" s="13"/>
      <c r="P41" s="13"/>
      <c r="Q41" s="13"/>
      <c r="R41" s="13">
        <f>30000+14000</f>
        <v>44000</v>
      </c>
      <c r="S41" s="13"/>
      <c r="T41" s="29">
        <f t="shared" si="1"/>
        <v>49748</v>
      </c>
      <c r="U41" s="27">
        <f t="shared" si="2"/>
        <v>252</v>
      </c>
    </row>
    <row r="42" spans="1:21" ht="12.75">
      <c r="A42" s="13">
        <f t="shared" si="3"/>
        <v>15</v>
      </c>
      <c r="B42" s="115" t="s">
        <v>33</v>
      </c>
      <c r="C42" s="115"/>
      <c r="D42" s="115"/>
      <c r="E42" s="115"/>
      <c r="F42" s="110">
        <v>360000</v>
      </c>
      <c r="G42" s="110"/>
      <c r="H42" s="13"/>
      <c r="I42" s="20">
        <f>30000</f>
        <v>30000</v>
      </c>
      <c r="J42" s="20">
        <v>30000</v>
      </c>
      <c r="K42" s="20">
        <v>30000</v>
      </c>
      <c r="L42" s="20">
        <v>30000</v>
      </c>
      <c r="M42" s="20">
        <f>30000+30000</f>
        <v>60000</v>
      </c>
      <c r="N42" s="20">
        <v>30000</v>
      </c>
      <c r="O42" s="20">
        <v>30000</v>
      </c>
      <c r="P42" s="13"/>
      <c r="Q42" s="20">
        <f>30000+30000</f>
        <v>60000</v>
      </c>
      <c r="R42" s="13"/>
      <c r="S42" s="20">
        <f>30000+30000</f>
        <v>60000</v>
      </c>
      <c r="T42" s="29">
        <f t="shared" si="1"/>
        <v>360000</v>
      </c>
      <c r="U42" s="27">
        <f t="shared" si="2"/>
        <v>0</v>
      </c>
    </row>
    <row r="43" spans="1:21" ht="12.75">
      <c r="A43" s="13">
        <f t="shared" si="3"/>
        <v>16</v>
      </c>
      <c r="B43" s="115" t="s">
        <v>34</v>
      </c>
      <c r="C43" s="115"/>
      <c r="D43" s="115"/>
      <c r="E43" s="115"/>
      <c r="F43" s="117">
        <v>50000</v>
      </c>
      <c r="G43" s="117"/>
      <c r="H43" s="13"/>
      <c r="I43" s="13"/>
      <c r="J43" s="15"/>
      <c r="K43" s="23">
        <v>139514.32</v>
      </c>
      <c r="L43" s="13"/>
      <c r="M43" s="13"/>
      <c r="N43" s="13"/>
      <c r="O43" s="13"/>
      <c r="P43" s="13"/>
      <c r="Q43" s="13"/>
      <c r="R43" s="13"/>
      <c r="S43" s="13"/>
      <c r="T43" s="29">
        <f t="shared" si="1"/>
        <v>139514.32</v>
      </c>
      <c r="U43" s="27">
        <f t="shared" si="2"/>
        <v>-89514.32</v>
      </c>
    </row>
    <row r="44" spans="1:21" ht="12.75">
      <c r="A44" s="13">
        <f t="shared" si="3"/>
        <v>17</v>
      </c>
      <c r="B44" s="118" t="s">
        <v>86</v>
      </c>
      <c r="C44" s="118"/>
      <c r="D44" s="118"/>
      <c r="E44" s="118"/>
      <c r="F44" s="117">
        <v>200000</v>
      </c>
      <c r="G44" s="117"/>
      <c r="H44" s="13"/>
      <c r="I44" s="13"/>
      <c r="J44" s="15"/>
      <c r="K44" s="23"/>
      <c r="L44" s="13"/>
      <c r="M44" s="20">
        <v>25000</v>
      </c>
      <c r="N44" s="13"/>
      <c r="O44" s="20">
        <f>25000</f>
        <v>25000</v>
      </c>
      <c r="P44" s="20">
        <v>150000</v>
      </c>
      <c r="Q44" s="13"/>
      <c r="R44" s="13"/>
      <c r="S44" s="13"/>
      <c r="T44" s="29">
        <f t="shared" si="1"/>
        <v>200000</v>
      </c>
      <c r="U44" s="27">
        <f t="shared" si="2"/>
        <v>0</v>
      </c>
    </row>
    <row r="45" spans="1:21" ht="12.75">
      <c r="A45" s="13">
        <f t="shared" si="3"/>
        <v>18</v>
      </c>
      <c r="B45" s="115" t="s">
        <v>87</v>
      </c>
      <c r="C45" s="115"/>
      <c r="D45" s="115"/>
      <c r="E45" s="115"/>
      <c r="F45" s="110">
        <v>200000</v>
      </c>
      <c r="G45" s="110"/>
      <c r="H45" s="13"/>
      <c r="I45" s="13"/>
      <c r="J45" s="15"/>
      <c r="K45" s="23"/>
      <c r="L45" s="20">
        <f>60000+40000+45000+30000</f>
        <v>175000</v>
      </c>
      <c r="M45" s="13"/>
      <c r="N45" s="13"/>
      <c r="O45" s="13"/>
      <c r="P45" s="13"/>
      <c r="Q45" s="13"/>
      <c r="R45" s="13"/>
      <c r="S45" s="13"/>
      <c r="T45" s="29">
        <f t="shared" si="1"/>
        <v>175000</v>
      </c>
      <c r="U45" s="27">
        <f t="shared" si="2"/>
        <v>25000</v>
      </c>
    </row>
    <row r="46" spans="1:21" ht="12.75">
      <c r="A46" s="13">
        <f t="shared" si="3"/>
        <v>19</v>
      </c>
      <c r="B46" s="19" t="s">
        <v>35</v>
      </c>
      <c r="C46" s="19"/>
      <c r="D46" s="19"/>
      <c r="E46" s="19"/>
      <c r="F46" s="110">
        <v>35000</v>
      </c>
      <c r="G46" s="109"/>
      <c r="H46" s="20">
        <f>1744.04</f>
        <v>1744.04</v>
      </c>
      <c r="I46" s="20">
        <v>1744.04</v>
      </c>
      <c r="J46" s="15"/>
      <c r="K46" s="20">
        <f>1744.04*2</f>
        <v>3488.08</v>
      </c>
      <c r="L46" s="13"/>
      <c r="M46" s="20">
        <f>1744.04+1744.04</f>
        <v>3488.08</v>
      </c>
      <c r="N46" s="20">
        <f>14868+1744.04</f>
        <v>16612.04</v>
      </c>
      <c r="O46" s="20">
        <v>1744.04</v>
      </c>
      <c r="P46" s="20">
        <v>1744.04</v>
      </c>
      <c r="Q46" s="20">
        <v>1744.04</v>
      </c>
      <c r="R46" s="20">
        <v>1744.04</v>
      </c>
      <c r="S46" s="20">
        <v>1744.04</v>
      </c>
      <c r="T46" s="29">
        <f t="shared" si="1"/>
        <v>35796.48</v>
      </c>
      <c r="U46" s="27">
        <f t="shared" si="2"/>
        <v>-796.4800000000032</v>
      </c>
    </row>
    <row r="47" spans="1:21" ht="12.75">
      <c r="A47" s="13">
        <f t="shared" si="3"/>
        <v>20</v>
      </c>
      <c r="B47" s="19" t="s">
        <v>36</v>
      </c>
      <c r="C47" s="19"/>
      <c r="D47" s="19"/>
      <c r="E47" s="19"/>
      <c r="F47" s="110">
        <v>18000</v>
      </c>
      <c r="G47" s="109"/>
      <c r="H47" s="13"/>
      <c r="I47" s="13"/>
      <c r="J47" s="20">
        <v>4500</v>
      </c>
      <c r="K47" s="23"/>
      <c r="L47" s="13"/>
      <c r="M47" s="20">
        <v>4500</v>
      </c>
      <c r="N47" s="13"/>
      <c r="O47" s="13"/>
      <c r="P47" s="20">
        <v>4864.7</v>
      </c>
      <c r="Q47" s="13"/>
      <c r="R47" s="13"/>
      <c r="S47" s="20">
        <v>4500</v>
      </c>
      <c r="T47" s="29">
        <f t="shared" si="1"/>
        <v>18364.7</v>
      </c>
      <c r="U47" s="27">
        <f t="shared" si="2"/>
        <v>-364.7000000000007</v>
      </c>
    </row>
    <row r="48" spans="1:21" ht="12.75">
      <c r="A48" s="13">
        <f t="shared" si="3"/>
        <v>21</v>
      </c>
      <c r="B48" s="19" t="s">
        <v>37</v>
      </c>
      <c r="C48" s="19"/>
      <c r="D48" s="19"/>
      <c r="E48" s="19"/>
      <c r="F48" s="110">
        <v>30000</v>
      </c>
      <c r="G48" s="109"/>
      <c r="H48" s="13"/>
      <c r="I48" s="13"/>
      <c r="J48" s="15"/>
      <c r="K48" s="23"/>
      <c r="L48" s="13">
        <v>9598</v>
      </c>
      <c r="M48" s="13"/>
      <c r="N48" s="13"/>
      <c r="O48" s="13"/>
      <c r="P48" s="13"/>
      <c r="Q48" s="13"/>
      <c r="R48" s="13">
        <f>17360.58+3000</f>
        <v>20360.58</v>
      </c>
      <c r="S48" s="13"/>
      <c r="T48" s="29">
        <f t="shared" si="1"/>
        <v>29958.58</v>
      </c>
      <c r="U48" s="27">
        <f t="shared" si="2"/>
        <v>41.419999999998254</v>
      </c>
    </row>
    <row r="49" spans="1:21" ht="12.75">
      <c r="A49" s="13">
        <f t="shared" si="3"/>
        <v>22</v>
      </c>
      <c r="B49" s="19" t="s">
        <v>38</v>
      </c>
      <c r="C49" s="19"/>
      <c r="D49" s="19"/>
      <c r="E49" s="19"/>
      <c r="F49" s="110">
        <v>235200</v>
      </c>
      <c r="G49" s="109"/>
      <c r="H49" s="20">
        <f>19790.3</f>
        <v>19790.3</v>
      </c>
      <c r="I49" s="13"/>
      <c r="J49" s="20">
        <v>19390.3</v>
      </c>
      <c r="K49" s="20">
        <f>19590.3+19590.3</f>
        <v>39180.6</v>
      </c>
      <c r="L49" s="13"/>
      <c r="M49" s="20">
        <f>19590.3+19590.3</f>
        <v>39180.6</v>
      </c>
      <c r="N49" s="20">
        <f>332.26+7964.37+11625.93</f>
        <v>19922.559999999998</v>
      </c>
      <c r="O49" s="20">
        <f>7964.37+11625.93</f>
        <v>19590.3</v>
      </c>
      <c r="P49" s="20">
        <f>2658.12+7964.37+11625.93</f>
        <v>22248.42</v>
      </c>
      <c r="Q49" s="20">
        <f>7964.37+11625.93</f>
        <v>19590.3</v>
      </c>
      <c r="R49" s="20">
        <f>7964.37+11625.93</f>
        <v>19590.3</v>
      </c>
      <c r="S49" s="20">
        <f>7964.37+11625.93</f>
        <v>19590.3</v>
      </c>
      <c r="T49" s="29">
        <f t="shared" si="1"/>
        <v>238073.97999999992</v>
      </c>
      <c r="U49" s="27">
        <f t="shared" si="2"/>
        <v>-2873.979999999923</v>
      </c>
    </row>
    <row r="50" spans="1:21" ht="12.75">
      <c r="A50" s="13">
        <f t="shared" si="3"/>
        <v>23</v>
      </c>
      <c r="B50" s="19" t="s">
        <v>39</v>
      </c>
      <c r="C50" s="19"/>
      <c r="D50" s="19"/>
      <c r="E50" s="19"/>
      <c r="F50" s="110">
        <v>10000</v>
      </c>
      <c r="G50" s="109"/>
      <c r="H50" s="13"/>
      <c r="I50" s="13"/>
      <c r="J50" s="15"/>
      <c r="K50" s="23"/>
      <c r="L50" s="13"/>
      <c r="M50" s="13"/>
      <c r="N50" s="13"/>
      <c r="O50" s="20">
        <v>7628</v>
      </c>
      <c r="P50" s="13"/>
      <c r="Q50" s="13"/>
      <c r="R50" s="20">
        <v>881</v>
      </c>
      <c r="S50" s="13"/>
      <c r="T50" s="29">
        <f t="shared" si="1"/>
        <v>8509</v>
      </c>
      <c r="U50" s="27">
        <f t="shared" si="2"/>
        <v>1491</v>
      </c>
    </row>
    <row r="51" spans="1:21" ht="12.75">
      <c r="A51" s="13">
        <f t="shared" si="3"/>
        <v>24</v>
      </c>
      <c r="B51" s="19" t="s">
        <v>45</v>
      </c>
      <c r="C51" s="19"/>
      <c r="D51" s="19"/>
      <c r="E51" s="19"/>
      <c r="F51" s="110">
        <v>30000</v>
      </c>
      <c r="G51" s="109"/>
      <c r="H51" s="20">
        <f>2500</f>
        <v>2500</v>
      </c>
      <c r="I51" s="20">
        <f>2500</f>
        <v>2500</v>
      </c>
      <c r="J51" s="20">
        <v>2500</v>
      </c>
      <c r="K51" s="20">
        <v>2500</v>
      </c>
      <c r="L51" s="20">
        <f>2500</f>
        <v>2500</v>
      </c>
      <c r="M51" s="20">
        <v>2500</v>
      </c>
      <c r="N51" s="20">
        <v>2500</v>
      </c>
      <c r="O51" s="20">
        <f>2500+2500</f>
        <v>5000</v>
      </c>
      <c r="P51" s="13"/>
      <c r="Q51" s="20">
        <f>2500</f>
        <v>2500</v>
      </c>
      <c r="R51" s="20">
        <v>2500</v>
      </c>
      <c r="S51" s="20">
        <f>2500+2500</f>
        <v>5000</v>
      </c>
      <c r="T51" s="29">
        <f t="shared" si="1"/>
        <v>32500</v>
      </c>
      <c r="U51" s="27">
        <f t="shared" si="2"/>
        <v>-2500</v>
      </c>
    </row>
    <row r="52" spans="1:21" ht="12.75">
      <c r="A52" s="13"/>
      <c r="B52" s="116" t="s">
        <v>6</v>
      </c>
      <c r="C52" s="116"/>
      <c r="D52" s="116"/>
      <c r="E52" s="116"/>
      <c r="F52" s="110">
        <f>SUM(F28:F51)</f>
        <v>3846552</v>
      </c>
      <c r="G52" s="109"/>
      <c r="H52" s="24">
        <f aca="true" t="shared" si="4" ref="H52:P52">SUM(H28:H51)</f>
        <v>133440.9</v>
      </c>
      <c r="I52" s="24">
        <f t="shared" si="4"/>
        <v>141157.63999999998</v>
      </c>
      <c r="J52" s="24">
        <f t="shared" si="4"/>
        <v>185774.76</v>
      </c>
      <c r="K52" s="25">
        <f t="shared" si="4"/>
        <v>362918.2</v>
      </c>
      <c r="L52" s="24">
        <f t="shared" si="4"/>
        <v>360948.58999999997</v>
      </c>
      <c r="M52" s="24">
        <f t="shared" si="4"/>
        <v>488716.69</v>
      </c>
      <c r="N52" s="24">
        <f t="shared" si="4"/>
        <v>584181.22</v>
      </c>
      <c r="O52" s="24">
        <f t="shared" si="4"/>
        <v>529549.1699999999</v>
      </c>
      <c r="P52" s="24">
        <f t="shared" si="4"/>
        <v>335417.43</v>
      </c>
      <c r="Q52" s="24">
        <f>SUM(Q28:Q51)</f>
        <v>202168.05</v>
      </c>
      <c r="R52" s="24">
        <f>SUM(R28:R51)</f>
        <v>218439.57999999996</v>
      </c>
      <c r="S52" s="24">
        <f>SUM(S28:S51)</f>
        <v>221923.25</v>
      </c>
      <c r="T52" s="29">
        <f t="shared" si="1"/>
        <v>3764635.48</v>
      </c>
      <c r="U52" s="27">
        <f>SUM(U28:U51)</f>
        <v>81916.52000000008</v>
      </c>
    </row>
    <row r="53" spans="1:20" ht="12.75">
      <c r="A53" s="13"/>
      <c r="B53" s="13"/>
      <c r="C53" s="13"/>
      <c r="D53" s="13"/>
      <c r="E53" s="13"/>
      <c r="F53" s="14"/>
      <c r="G53" s="14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6"/>
    </row>
    <row r="54" spans="1:20" ht="12.75">
      <c r="A54" s="13"/>
      <c r="B54" s="13"/>
      <c r="C54" s="13"/>
      <c r="D54" s="13"/>
      <c r="E54" s="13"/>
      <c r="F54" s="14"/>
      <c r="G54" s="14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6"/>
    </row>
    <row r="55" spans="1:20" ht="12.75">
      <c r="A55" s="13"/>
      <c r="B55" s="13" t="s">
        <v>46</v>
      </c>
      <c r="C55" s="13"/>
      <c r="D55" s="13"/>
      <c r="E55" s="13"/>
      <c r="F55" s="109" t="s">
        <v>41</v>
      </c>
      <c r="G55" s="109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6"/>
    </row>
    <row r="56" spans="1:20" ht="12.75">
      <c r="A56" s="13"/>
      <c r="B56" s="13"/>
      <c r="C56" s="13"/>
      <c r="D56" s="13"/>
      <c r="E56" s="13"/>
      <c r="F56" s="109" t="s">
        <v>47</v>
      </c>
      <c r="G56" s="109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6"/>
    </row>
    <row r="57" spans="1:21" s="8" customFormat="1" ht="12.75" hidden="1">
      <c r="A57" s="26"/>
      <c r="B57" s="26"/>
      <c r="C57" s="26"/>
      <c r="D57" s="26"/>
      <c r="E57" s="26"/>
      <c r="F57" s="26"/>
      <c r="G57" s="26"/>
      <c r="H57" s="26">
        <f aca="true" t="shared" si="5" ref="H57:S57">H24-H52</f>
        <v>60122.590000000026</v>
      </c>
      <c r="I57" s="26">
        <f t="shared" si="5"/>
        <v>91461.88</v>
      </c>
      <c r="J57" s="26">
        <f t="shared" si="5"/>
        <v>70192.17000000001</v>
      </c>
      <c r="K57" s="26">
        <f t="shared" si="5"/>
        <v>-134273.74000000002</v>
      </c>
      <c r="L57" s="26">
        <f t="shared" si="5"/>
        <v>-141475.50999999998</v>
      </c>
      <c r="M57" s="26">
        <f t="shared" si="5"/>
        <v>-248173.77</v>
      </c>
      <c r="N57" s="26">
        <f t="shared" si="5"/>
        <v>-341711.27999999997</v>
      </c>
      <c r="O57" s="26">
        <f t="shared" si="5"/>
        <v>-293601.85999999987</v>
      </c>
      <c r="P57" s="26">
        <f t="shared" si="5"/>
        <v>-106745.36000000002</v>
      </c>
      <c r="Q57" s="26">
        <f t="shared" si="5"/>
        <v>58030.41</v>
      </c>
      <c r="R57" s="26">
        <f t="shared" si="5"/>
        <v>29747.600000000064</v>
      </c>
      <c r="S57" s="26">
        <f t="shared" si="5"/>
        <v>161012.48999999993</v>
      </c>
      <c r="T57" s="16">
        <f>H57+I57+J57+K57+L57+M57+N57+O57+P57+Q57+R57+S57</f>
        <v>-795414.3799999997</v>
      </c>
      <c r="U57" s="10"/>
    </row>
    <row r="58" spans="2:6" ht="12.75">
      <c r="B58" t="s">
        <v>42</v>
      </c>
      <c r="E58" t="s">
        <v>43</v>
      </c>
      <c r="F58" s="6" t="s">
        <v>44</v>
      </c>
    </row>
    <row r="60" ht="12.75">
      <c r="B60" t="s">
        <v>69</v>
      </c>
    </row>
    <row r="61" spans="2:9" ht="12.75" hidden="1">
      <c r="B61" t="s">
        <v>74</v>
      </c>
      <c r="I61">
        <v>2000</v>
      </c>
    </row>
    <row r="62" ht="12.75">
      <c r="B62" t="s">
        <v>55</v>
      </c>
    </row>
    <row r="63" spans="2:20" ht="12.75">
      <c r="B63" t="s">
        <v>59</v>
      </c>
      <c r="H63" s="1">
        <v>8642.3</v>
      </c>
      <c r="I63" s="1">
        <v>2000</v>
      </c>
      <c r="L63" s="1">
        <f>800</f>
        <v>800</v>
      </c>
      <c r="N63" s="1">
        <v>2000</v>
      </c>
      <c r="Q63" s="1">
        <v>2000</v>
      </c>
      <c r="T63" s="9">
        <f>H63+L63+N63+Q63</f>
        <v>13442.3</v>
      </c>
    </row>
    <row r="64" spans="2:20" ht="12.75">
      <c r="B64" t="s">
        <v>61</v>
      </c>
      <c r="H64" s="1">
        <v>63335.18</v>
      </c>
      <c r="I64" s="1">
        <v>73257.39</v>
      </c>
      <c r="J64" s="1">
        <v>65415.7</v>
      </c>
      <c r="K64" s="1">
        <v>67306.27</v>
      </c>
      <c r="L64" s="1">
        <v>64696.12</v>
      </c>
      <c r="M64" s="1">
        <v>60804.83</v>
      </c>
      <c r="N64" s="1">
        <v>57278.65</v>
      </c>
      <c r="O64" s="1">
        <v>59963.22</v>
      </c>
      <c r="P64" s="1">
        <v>56643.58</v>
      </c>
      <c r="Q64" s="1">
        <v>55680.79</v>
      </c>
      <c r="R64" s="1">
        <v>60632.98</v>
      </c>
      <c r="S64" s="1">
        <v>59258.44</v>
      </c>
      <c r="T64" s="9">
        <f>H64+I64+J64+K64+L64+M64+N64+O64+P64+Q64+R64+S64</f>
        <v>744273.1500000001</v>
      </c>
    </row>
    <row r="65" spans="2:20" ht="12.75">
      <c r="B65" t="s">
        <v>62</v>
      </c>
      <c r="H65" s="1">
        <v>392404.79</v>
      </c>
      <c r="I65" s="1">
        <v>460252.33</v>
      </c>
      <c r="J65" s="1">
        <v>461606.65</v>
      </c>
      <c r="K65" s="1">
        <v>493471.62</v>
      </c>
      <c r="L65" s="1">
        <v>361453.72</v>
      </c>
      <c r="M65" s="1">
        <v>128608.91</v>
      </c>
      <c r="N65" s="1">
        <v>102483</v>
      </c>
      <c r="O65" s="1">
        <v>31726.36</v>
      </c>
      <c r="P65" s="1">
        <v>86126.58</v>
      </c>
      <c r="Q65" s="1">
        <v>94831.73</v>
      </c>
      <c r="R65" s="1">
        <v>209541.12</v>
      </c>
      <c r="S65" s="1">
        <v>291061.8</v>
      </c>
      <c r="T65" s="9">
        <f aca="true" t="shared" si="6" ref="T65:T72">H65+I65+J65+K65+L65+M65+N65+O65+P65+Q65+R65+S65</f>
        <v>3113568.6100000003</v>
      </c>
    </row>
    <row r="66" spans="2:20" ht="12.75">
      <c r="B66" t="s">
        <v>63</v>
      </c>
      <c r="I66" s="1">
        <v>8949.6</v>
      </c>
      <c r="J66" s="1">
        <v>9147.6</v>
      </c>
      <c r="K66" s="1">
        <v>9180.6</v>
      </c>
      <c r="L66" s="1">
        <v>8806.71</v>
      </c>
      <c r="M66" s="1">
        <v>9236.7</v>
      </c>
      <c r="N66" s="1">
        <v>8781.3</v>
      </c>
      <c r="O66" s="1">
        <v>9081.6</v>
      </c>
      <c r="P66" s="1">
        <v>8982.6</v>
      </c>
      <c r="Q66" s="1">
        <v>9081.6</v>
      </c>
      <c r="R66" s="1">
        <v>8504.1</v>
      </c>
      <c r="S66" s="1">
        <v>8284.98</v>
      </c>
      <c r="T66" s="9">
        <f t="shared" si="6"/>
        <v>98037.39000000001</v>
      </c>
    </row>
    <row r="67" spans="2:20" ht="12.75">
      <c r="B67" t="s">
        <v>64</v>
      </c>
      <c r="R67" s="1">
        <v>263.14</v>
      </c>
      <c r="T67" s="9">
        <f t="shared" si="6"/>
        <v>263.14</v>
      </c>
    </row>
    <row r="68" spans="2:20" ht="12.75">
      <c r="B68" t="s">
        <v>65</v>
      </c>
      <c r="J68" s="1">
        <v>13800</v>
      </c>
      <c r="N68" s="1">
        <v>13800</v>
      </c>
      <c r="Q68" s="1">
        <v>13800</v>
      </c>
      <c r="S68" s="1">
        <v>13800</v>
      </c>
      <c r="T68" s="9">
        <f t="shared" si="6"/>
        <v>55200</v>
      </c>
    </row>
    <row r="69" spans="2:20" ht="12.75">
      <c r="B69" t="s">
        <v>67</v>
      </c>
      <c r="K69" s="1">
        <v>12400</v>
      </c>
      <c r="T69" s="9">
        <f>H69+I69+J69+K69+L69+M69+N69+O69+P69+Q69+R69+S69</f>
        <v>12400</v>
      </c>
    </row>
    <row r="70" spans="2:20" ht="12.75">
      <c r="B70" t="s">
        <v>68</v>
      </c>
      <c r="M70" s="1">
        <f>400+800</f>
        <v>1200</v>
      </c>
      <c r="T70" s="9">
        <f t="shared" si="6"/>
        <v>1200</v>
      </c>
    </row>
    <row r="71" spans="2:20" ht="12.75" hidden="1">
      <c r="B71" t="s">
        <v>84</v>
      </c>
      <c r="H71" s="7">
        <f>SUM(H61:H70)</f>
        <v>464382.26999999996</v>
      </c>
      <c r="I71" s="7">
        <f>SUM(I61:I70)</f>
        <v>546459.32</v>
      </c>
      <c r="J71" s="7">
        <f>SUM(J61:J70)</f>
        <v>549969.95</v>
      </c>
      <c r="K71" s="7">
        <f>SUM(K61:K70)</f>
        <v>582358.49</v>
      </c>
      <c r="R71" s="1">
        <v>50000</v>
      </c>
      <c r="S71" s="1">
        <v>42970</v>
      </c>
      <c r="T71" s="9">
        <f t="shared" si="6"/>
        <v>2236140.03</v>
      </c>
    </row>
    <row r="72" spans="2:20" ht="12.75" hidden="1">
      <c r="B72" t="s">
        <v>66</v>
      </c>
      <c r="K72">
        <v>4000</v>
      </c>
      <c r="T72" s="9">
        <f t="shared" si="6"/>
        <v>4000</v>
      </c>
    </row>
    <row r="73" spans="8:20" ht="12.75">
      <c r="H73" s="30">
        <f>H52+H63+H64+H65</f>
        <v>597823.1699999999</v>
      </c>
      <c r="I73" s="31">
        <f>I52+I64+I65+I66+I63</f>
        <v>685616.96</v>
      </c>
      <c r="J73" s="30">
        <f>J52+J64+J65+J66+J68</f>
        <v>735744.7100000001</v>
      </c>
      <c r="K73" s="31">
        <f>K52+K64+K65+K66+K69</f>
        <v>945276.6900000001</v>
      </c>
      <c r="L73" s="30">
        <f>L52+L63+L64+L65+L66</f>
        <v>796705.1399999999</v>
      </c>
      <c r="M73" s="31">
        <f>M52+M64+M65+M66+M70</f>
        <v>688567.13</v>
      </c>
      <c r="N73" s="30">
        <f>N52+N63+N64+N65+N66+N68</f>
        <v>768524.17</v>
      </c>
      <c r="O73" s="31">
        <f>O52+O64+O65+O66</f>
        <v>630320.3499999999</v>
      </c>
      <c r="P73" s="31">
        <f>P52+P64+P65+P66</f>
        <v>487170.19</v>
      </c>
      <c r="Q73" s="31">
        <f>Q52+Q63+Q64+Q65+Q66+Q68</f>
        <v>377562.17</v>
      </c>
      <c r="R73" s="31">
        <f>R52+R64+R65+R66+R67+R71</f>
        <v>547380.9199999999</v>
      </c>
      <c r="S73" s="30">
        <f>SUM(S64:S72)+S52</f>
        <v>637298.47</v>
      </c>
      <c r="T73" s="33">
        <f>T52+T63+T64+T65+T66+T67+T68+T69+T70</f>
        <v>7803020.069999999</v>
      </c>
    </row>
    <row r="74" spans="2:16" ht="12.75" hidden="1">
      <c r="B74" s="12" t="s">
        <v>75</v>
      </c>
      <c r="H74">
        <f>114985.12+56996.34</f>
        <v>171981.46</v>
      </c>
      <c r="I74">
        <f>147996.53+85847.31</f>
        <v>233843.84</v>
      </c>
      <c r="J74">
        <f>188326.12+150284.03</f>
        <v>338610.15</v>
      </c>
      <c r="K74">
        <f>140378.44+85589.13</f>
        <v>225967.57</v>
      </c>
      <c r="L74">
        <f>145923.33+94415.9</f>
        <v>240339.22999999998</v>
      </c>
      <c r="M74">
        <f>155616.25+103708.34</f>
        <v>259324.59</v>
      </c>
      <c r="N74">
        <f>143863.03+87394.87</f>
        <v>231257.9</v>
      </c>
      <c r="O74">
        <f>169217.54+91454.6+5599.34</f>
        <v>266271.48000000004</v>
      </c>
      <c r="P74">
        <f>164498.67+91823.46+358.95</f>
        <v>256681.08000000002</v>
      </c>
    </row>
    <row r="75" spans="2:16" ht="12.75" hidden="1">
      <c r="B75" s="12" t="s">
        <v>76</v>
      </c>
      <c r="H75">
        <f>23935.84+14795.63</f>
        <v>38731.47</v>
      </c>
      <c r="I75">
        <f>34884.83+22227.83</f>
        <v>57112.66</v>
      </c>
      <c r="J75">
        <f>58322.53+38254.18</f>
        <v>96576.70999999999</v>
      </c>
      <c r="K75">
        <f>35495.69+21939.11</f>
        <v>57434.8</v>
      </c>
      <c r="L75">
        <f>45788.24+24219.69</f>
        <v>70007.93</v>
      </c>
      <c r="M75">
        <f>44979.67+26698.9</f>
        <v>71678.57</v>
      </c>
      <c r="N75">
        <f>35829.15+22581.34+0.69+0.73</f>
        <v>58411.91000000001</v>
      </c>
      <c r="O75">
        <f>38454.7+23553.85+317.05+792.66+1960.18</f>
        <v>65078.44</v>
      </c>
      <c r="P75">
        <f>39001.69+23962.56+112.66+47.5+218.98</f>
        <v>63343.39000000001</v>
      </c>
    </row>
    <row r="76" spans="2:16" ht="12.75" hidden="1">
      <c r="B76" t="s">
        <v>77</v>
      </c>
      <c r="H76">
        <f>4968.67+2334.42</f>
        <v>7303.09</v>
      </c>
      <c r="I76">
        <f>7524.62+569.65</f>
        <v>8094.2699999999995</v>
      </c>
      <c r="J76">
        <f>11967.55+214.64</f>
        <v>12182.189999999999</v>
      </c>
      <c r="K76">
        <f>7222.21+449.5</f>
        <v>7671.71</v>
      </c>
      <c r="L76">
        <f>8007.25+623.7</f>
        <v>8630.95</v>
      </c>
      <c r="M76">
        <f>8902.75+178.2</f>
        <v>9080.95</v>
      </c>
      <c r="N76">
        <f>6407.31+2180.33</f>
        <v>8587.64</v>
      </c>
      <c r="O76">
        <f>8749.98+1085.54</f>
        <v>9835.52</v>
      </c>
      <c r="P76">
        <f>6428.63+3206.23</f>
        <v>9634.86</v>
      </c>
    </row>
    <row r="77" spans="2:16" ht="12.75" hidden="1">
      <c r="B77" t="s">
        <v>78</v>
      </c>
      <c r="H77">
        <v>2918.32</v>
      </c>
      <c r="I77">
        <v>4077.45</v>
      </c>
      <c r="J77">
        <v>5608.29</v>
      </c>
      <c r="K77">
        <v>3823.23</v>
      </c>
      <c r="L77">
        <v>4117.83</v>
      </c>
      <c r="M77">
        <v>4564.5</v>
      </c>
      <c r="N77">
        <v>4284.26</v>
      </c>
      <c r="O77">
        <v>4654.11</v>
      </c>
      <c r="P77">
        <v>4444.75</v>
      </c>
    </row>
    <row r="78" spans="2:16" ht="12.75" hidden="1">
      <c r="B78" t="s">
        <v>79</v>
      </c>
      <c r="H78">
        <v>225.7</v>
      </c>
      <c r="I78">
        <v>478.81</v>
      </c>
      <c r="J78">
        <v>866.33</v>
      </c>
      <c r="K78">
        <v>719.81</v>
      </c>
      <c r="L78">
        <v>749.8</v>
      </c>
      <c r="M78">
        <v>795.55</v>
      </c>
      <c r="N78">
        <v>775.09</v>
      </c>
      <c r="O78">
        <v>885.25</v>
      </c>
      <c r="P78">
        <v>854.24</v>
      </c>
    </row>
    <row r="79" spans="2:16" ht="12.75" hidden="1">
      <c r="B79" t="s">
        <v>65</v>
      </c>
      <c r="I79">
        <v>-63.06</v>
      </c>
      <c r="J79">
        <v>160</v>
      </c>
      <c r="K79">
        <v>140</v>
      </c>
      <c r="L79">
        <v>20</v>
      </c>
      <c r="M79">
        <v>98.89</v>
      </c>
      <c r="N79">
        <v>80</v>
      </c>
      <c r="O79">
        <v>60</v>
      </c>
      <c r="P79">
        <v>31</v>
      </c>
    </row>
    <row r="80" spans="2:16" ht="12.75" hidden="1">
      <c r="B80" t="s">
        <v>80</v>
      </c>
      <c r="H80">
        <v>1474.48</v>
      </c>
      <c r="I80">
        <v>2061.58</v>
      </c>
      <c r="J80">
        <v>3091.7</v>
      </c>
      <c r="K80">
        <v>1964.91</v>
      </c>
      <c r="L80">
        <v>2139.95</v>
      </c>
      <c r="M80">
        <v>2528.4</v>
      </c>
      <c r="N80">
        <v>1976.47</v>
      </c>
      <c r="O80">
        <v>2399.13</v>
      </c>
      <c r="P80">
        <v>1990.42</v>
      </c>
    </row>
    <row r="81" spans="2:15" ht="12.75" hidden="1">
      <c r="B81" t="s">
        <v>81</v>
      </c>
      <c r="H81">
        <v>70.77</v>
      </c>
      <c r="I81">
        <v>11.38</v>
      </c>
      <c r="J81">
        <v>-53.35</v>
      </c>
      <c r="K81">
        <v>-14.67</v>
      </c>
      <c r="L81">
        <v>-23.24</v>
      </c>
      <c r="M81">
        <v>33.18</v>
      </c>
      <c r="N81">
        <v>-6.68</v>
      </c>
      <c r="O81">
        <v>2.53</v>
      </c>
    </row>
    <row r="82" spans="2:16" ht="12.75" hidden="1">
      <c r="B82" t="s">
        <v>82</v>
      </c>
      <c r="H82">
        <v>31808.97</v>
      </c>
      <c r="I82">
        <v>17629.48</v>
      </c>
      <c r="J82" s="2">
        <v>-20147.75</v>
      </c>
      <c r="K82">
        <v>-678.46</v>
      </c>
      <c r="L82">
        <v>-6682.79</v>
      </c>
      <c r="M82">
        <v>10791.77</v>
      </c>
      <c r="N82">
        <v>-1300.78</v>
      </c>
      <c r="O82">
        <v>-1805.91</v>
      </c>
      <c r="P82">
        <v>-9527.06</v>
      </c>
    </row>
    <row r="83" spans="2:16" ht="12.75" hidden="1">
      <c r="B83" t="s">
        <v>83</v>
      </c>
      <c r="H83">
        <v>-2554.81</v>
      </c>
      <c r="I83">
        <v>660.13</v>
      </c>
      <c r="J83">
        <v>3067.43</v>
      </c>
      <c r="K83">
        <v>-306.46</v>
      </c>
      <c r="L83">
        <v>-680.8</v>
      </c>
      <c r="M83">
        <v>-471.43</v>
      </c>
      <c r="N83">
        <v>-1077.1</v>
      </c>
      <c r="O83">
        <v>90.78</v>
      </c>
      <c r="P83">
        <v>-537.98</v>
      </c>
    </row>
    <row r="84" ht="12.75" hidden="1"/>
  </sheetData>
  <sheetProtection/>
  <mergeCells count="62">
    <mergeCell ref="B45:E45"/>
    <mergeCell ref="F45:G45"/>
    <mergeCell ref="B52:E52"/>
    <mergeCell ref="F52:G52"/>
    <mergeCell ref="F46:G46"/>
    <mergeCell ref="F47:G47"/>
    <mergeCell ref="F48:G48"/>
    <mergeCell ref="F49:G49"/>
    <mergeCell ref="F50:G50"/>
    <mergeCell ref="B43:E43"/>
    <mergeCell ref="F43:G43"/>
    <mergeCell ref="B44:E44"/>
    <mergeCell ref="F44:G44"/>
    <mergeCell ref="B41:E41"/>
    <mergeCell ref="F41:G41"/>
    <mergeCell ref="B42:E42"/>
    <mergeCell ref="F42:G42"/>
    <mergeCell ref="B39:E39"/>
    <mergeCell ref="F39:G39"/>
    <mergeCell ref="B40:E40"/>
    <mergeCell ref="F40:G40"/>
    <mergeCell ref="B37:E37"/>
    <mergeCell ref="F37:G37"/>
    <mergeCell ref="B38:E38"/>
    <mergeCell ref="F38:G38"/>
    <mergeCell ref="B35:E35"/>
    <mergeCell ref="F35:G35"/>
    <mergeCell ref="B36:E36"/>
    <mergeCell ref="F36:G36"/>
    <mergeCell ref="B33:E33"/>
    <mergeCell ref="F33:G33"/>
    <mergeCell ref="B34:E34"/>
    <mergeCell ref="F34:G34"/>
    <mergeCell ref="B31:E31"/>
    <mergeCell ref="F31:G31"/>
    <mergeCell ref="B32:E32"/>
    <mergeCell ref="F32:G32"/>
    <mergeCell ref="A26:C26"/>
    <mergeCell ref="B28:E28"/>
    <mergeCell ref="F28:G28"/>
    <mergeCell ref="B30:E30"/>
    <mergeCell ref="F30:G30"/>
    <mergeCell ref="F29:G29"/>
    <mergeCell ref="B22:E22"/>
    <mergeCell ref="F22:G22"/>
    <mergeCell ref="F23:G23"/>
    <mergeCell ref="B24:E24"/>
    <mergeCell ref="F24:G24"/>
    <mergeCell ref="B19:E19"/>
    <mergeCell ref="F19:G19"/>
    <mergeCell ref="B21:E21"/>
    <mergeCell ref="F21:G21"/>
    <mergeCell ref="F55:G55"/>
    <mergeCell ref="F56:G56"/>
    <mergeCell ref="F51:G51"/>
    <mergeCell ref="A12:J12"/>
    <mergeCell ref="A13:K13"/>
    <mergeCell ref="A15:C15"/>
    <mergeCell ref="B17:E17"/>
    <mergeCell ref="F17:G17"/>
    <mergeCell ref="B18:E18"/>
    <mergeCell ref="F18:G18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91"/>
  <sheetViews>
    <sheetView zoomScalePageLayoutView="0" workbookViewId="0" topLeftCell="A10">
      <selection activeCell="T27" sqref="T27"/>
    </sheetView>
  </sheetViews>
  <sheetFormatPr defaultColWidth="9.00390625" defaultRowHeight="12.75"/>
  <cols>
    <col min="1" max="1" width="9.875" style="0" customWidth="1"/>
    <col min="2" max="2" width="7.25390625" style="0" customWidth="1"/>
    <col min="3" max="3" width="9.625" style="0" customWidth="1"/>
    <col min="4" max="4" width="10.50390625" style="0" customWidth="1"/>
    <col min="5" max="5" width="15.875" style="0" customWidth="1"/>
    <col min="6" max="6" width="10.50390625" style="6" bestFit="1" customWidth="1"/>
    <col min="7" max="7" width="9.625" style="6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875" style="0" hidden="1" customWidth="1"/>
    <col min="12" max="12" width="11.125" style="0" hidden="1" customWidth="1"/>
    <col min="13" max="14" width="10.50390625" style="0" hidden="1" customWidth="1"/>
    <col min="15" max="15" width="10.875" style="0" hidden="1" customWidth="1"/>
    <col min="16" max="16" width="10.50390625" style="0" hidden="1" customWidth="1"/>
    <col min="17" max="17" width="10.875" style="0" hidden="1" customWidth="1"/>
    <col min="18" max="19" width="11.25390625" style="0" hidden="1" customWidth="1"/>
    <col min="20" max="20" width="12.50390625" style="9" customWidth="1"/>
    <col min="21" max="21" width="12.50390625" style="0" customWidth="1"/>
    <col min="22" max="22" width="18.50390625" style="0" bestFit="1" customWidth="1"/>
  </cols>
  <sheetData>
    <row r="2" spans="6:20" ht="12.75">
      <c r="F2"/>
      <c r="G2"/>
      <c r="T2"/>
    </row>
    <row r="3" spans="6:20" ht="12.75">
      <c r="F3"/>
      <c r="G3"/>
      <c r="T3"/>
    </row>
    <row r="5" spans="1:6" ht="12.75">
      <c r="A5" t="s">
        <v>15</v>
      </c>
      <c r="F5" s="6" t="s">
        <v>16</v>
      </c>
    </row>
    <row r="6" spans="1:6" ht="12.75">
      <c r="A6" t="s">
        <v>116</v>
      </c>
      <c r="F6" s="6" t="s">
        <v>18</v>
      </c>
    </row>
    <row r="7" spans="1:6" ht="12.75">
      <c r="A7" t="s">
        <v>24</v>
      </c>
      <c r="F7" s="6" t="s">
        <v>19</v>
      </c>
    </row>
    <row r="8" ht="12.75">
      <c r="F8" s="6" t="s">
        <v>20</v>
      </c>
    </row>
    <row r="9" spans="6:20" ht="12.75">
      <c r="F9"/>
      <c r="G9"/>
      <c r="T9"/>
    </row>
    <row r="10" ht="12.75">
      <c r="A10" s="4" t="s">
        <v>23</v>
      </c>
    </row>
    <row r="12" spans="1:10" ht="21">
      <c r="A12" s="111" t="s">
        <v>0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1" ht="15">
      <c r="A13" s="112" t="s">
        <v>191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ht="12.75">
      <c r="J14" s="1"/>
    </row>
    <row r="15" spans="1:20" ht="17.25">
      <c r="A15" s="113" t="s">
        <v>1</v>
      </c>
      <c r="B15" s="113"/>
      <c r="C15" s="113"/>
      <c r="D15" s="13"/>
      <c r="E15" s="13"/>
      <c r="F15" s="122" t="s">
        <v>89</v>
      </c>
      <c r="G15" s="123"/>
      <c r="H15" s="13" t="s">
        <v>49</v>
      </c>
      <c r="I15" s="13" t="s">
        <v>50</v>
      </c>
      <c r="J15" s="15" t="s">
        <v>51</v>
      </c>
      <c r="K15" s="13" t="s">
        <v>52</v>
      </c>
      <c r="L15" s="13" t="s">
        <v>53</v>
      </c>
      <c r="M15" s="13" t="s">
        <v>54</v>
      </c>
      <c r="N15" s="13" t="s">
        <v>56</v>
      </c>
      <c r="O15" s="13" t="s">
        <v>57</v>
      </c>
      <c r="P15" s="13" t="s">
        <v>58</v>
      </c>
      <c r="Q15" s="13" t="s">
        <v>70</v>
      </c>
      <c r="R15" s="13" t="s">
        <v>71</v>
      </c>
      <c r="S15" s="13" t="s">
        <v>72</v>
      </c>
      <c r="T15" s="16" t="s">
        <v>90</v>
      </c>
    </row>
    <row r="16" spans="1:20" ht="12.75">
      <c r="A16" s="13"/>
      <c r="B16" s="13"/>
      <c r="C16" s="13"/>
      <c r="D16" s="13"/>
      <c r="E16" s="13"/>
      <c r="F16" s="14"/>
      <c r="G16" s="14"/>
      <c r="H16" s="13"/>
      <c r="I16" s="13"/>
      <c r="J16" s="15"/>
      <c r="K16" s="13"/>
      <c r="L16" s="13"/>
      <c r="M16" s="13"/>
      <c r="N16" s="13"/>
      <c r="O16" s="13"/>
      <c r="P16" s="13"/>
      <c r="Q16" s="13"/>
      <c r="R16" s="13"/>
      <c r="S16" s="13"/>
      <c r="T16" s="16"/>
    </row>
    <row r="17" spans="1:20" ht="12.75">
      <c r="A17" s="13">
        <v>1</v>
      </c>
      <c r="B17" s="114" t="s">
        <v>2</v>
      </c>
      <c r="C17" s="114"/>
      <c r="D17" s="114"/>
      <c r="E17" s="114"/>
      <c r="F17" s="110">
        <v>1648800</v>
      </c>
      <c r="G17" s="110"/>
      <c r="H17" s="13">
        <f>69000+23500+14000+11000+5500+6200+6200+12500+12500</f>
        <v>160400</v>
      </c>
      <c r="I17" s="13">
        <f>23500+69000+14000+11000+5500</f>
        <v>123000</v>
      </c>
      <c r="J17" s="15">
        <f>23500+6200+14000+69000+12500+5500+11000+14000</f>
        <v>155700</v>
      </c>
      <c r="K17" s="13">
        <f>62000+23500+11000+5500+12500+6200</f>
        <v>120700</v>
      </c>
      <c r="L17" s="13">
        <f>50000+23500+14000+6200+11000+5500+12500+50000</f>
        <v>172700</v>
      </c>
      <c r="M17" s="13">
        <f>14000+23500+5500+6200+12500+50000+11000+14500</f>
        <v>137200</v>
      </c>
      <c r="N17" s="13">
        <f>24000+6400+5700+12800+11000+50000+12800</f>
        <v>122700</v>
      </c>
      <c r="O17" s="41">
        <f>14500+24000+11000+5700+6400</f>
        <v>61600</v>
      </c>
      <c r="P17" s="41">
        <f>6400+24000+5700+50000+14500+12800+11000</f>
        <v>124400</v>
      </c>
      <c r="Q17" s="41">
        <f>14500+6400+24000+11000+5700+12800</f>
        <v>74400</v>
      </c>
      <c r="R17" s="13">
        <f>50000+14500+24000+50000+12800+11000+5700+6400</f>
        <v>174400</v>
      </c>
      <c r="S17" s="13">
        <f>6400+24000+14500+5700+11000+50000+12800</f>
        <v>124400</v>
      </c>
      <c r="T17" s="29">
        <f>H17+I17+J17+K17+L17+M17+N17+O17+P17+Q17+R17+S17</f>
        <v>1551600</v>
      </c>
    </row>
    <row r="18" spans="1:20" ht="12.75">
      <c r="A18" s="13">
        <v>2</v>
      </c>
      <c r="B18" s="17" t="s">
        <v>140</v>
      </c>
      <c r="C18" s="17"/>
      <c r="D18" s="17"/>
      <c r="E18" s="17"/>
      <c r="F18" s="119">
        <v>24000</v>
      </c>
      <c r="G18" s="120"/>
      <c r="H18" s="13">
        <f>585+669</f>
        <v>1254</v>
      </c>
      <c r="I18" s="13">
        <f>627+600+627</f>
        <v>1854</v>
      </c>
      <c r="J18" s="15">
        <f>710+543+260+460</f>
        <v>1973</v>
      </c>
      <c r="K18" s="13">
        <f>627+293</f>
        <v>920</v>
      </c>
      <c r="L18" s="13">
        <f>670+335+300</f>
        <v>1305</v>
      </c>
      <c r="M18" s="13">
        <f>332+753+330+330</f>
        <v>1745</v>
      </c>
      <c r="N18" s="13">
        <f>753+300+4800</f>
        <v>5853</v>
      </c>
      <c r="O18" s="41">
        <f>335+862+600</f>
        <v>1797</v>
      </c>
      <c r="P18" s="41">
        <f>1135+405</f>
        <v>1540</v>
      </c>
      <c r="Q18" s="41">
        <f>863+440</f>
        <v>1303</v>
      </c>
      <c r="R18" s="13">
        <f>1000+908+700</f>
        <v>2608</v>
      </c>
      <c r="S18" s="13">
        <f>908+500+550</f>
        <v>1958</v>
      </c>
      <c r="T18" s="29">
        <f>H18+I18+J18+K18+L18+M18+N18+O18+P18+Q18+R18+S18</f>
        <v>24110</v>
      </c>
    </row>
    <row r="19" spans="1:20" ht="12.75">
      <c r="A19" s="13">
        <v>3</v>
      </c>
      <c r="B19" s="121" t="s">
        <v>134</v>
      </c>
      <c r="C19" s="114"/>
      <c r="D19" s="114"/>
      <c r="E19" s="114"/>
      <c r="F19" s="110">
        <v>2419736</v>
      </c>
      <c r="G19" s="110"/>
      <c r="H19" s="13"/>
      <c r="I19" s="13"/>
      <c r="J19" s="15"/>
      <c r="K19" s="13"/>
      <c r="L19" s="13"/>
      <c r="M19" s="13"/>
      <c r="N19" s="13"/>
      <c r="O19" s="13"/>
      <c r="P19" s="41"/>
      <c r="Q19" s="41"/>
      <c r="R19" s="13"/>
      <c r="S19" s="13">
        <v>2367733.34</v>
      </c>
      <c r="T19" s="29">
        <f>H19+I19+J19+K19+L19+M19+N19+O19+P19+Q19+R19+S19</f>
        <v>2367733.34</v>
      </c>
    </row>
    <row r="20" spans="1:20" ht="12.75">
      <c r="A20" s="13">
        <v>4</v>
      </c>
      <c r="B20" s="67" t="s">
        <v>135</v>
      </c>
      <c r="C20" s="17"/>
      <c r="D20" s="17"/>
      <c r="E20" s="17"/>
      <c r="F20" s="119">
        <v>55200</v>
      </c>
      <c r="G20" s="120"/>
      <c r="H20" s="13"/>
      <c r="I20" s="13"/>
      <c r="J20" s="15"/>
      <c r="K20" s="13"/>
      <c r="L20" s="13"/>
      <c r="M20" s="13"/>
      <c r="N20" s="13"/>
      <c r="O20" s="13"/>
      <c r="P20" s="41"/>
      <c r="Q20" s="41"/>
      <c r="R20" s="13"/>
      <c r="S20" s="13">
        <v>61242.3</v>
      </c>
      <c r="T20" s="29">
        <f>H20+I20+J20+K20+L20+M20+N20+O20+P20+Q20+R20+S20</f>
        <v>61242.3</v>
      </c>
    </row>
    <row r="21" spans="1:20" ht="12.75">
      <c r="A21" s="13">
        <v>5</v>
      </c>
      <c r="B21" s="68" t="s">
        <v>136</v>
      </c>
      <c r="C21" s="17"/>
      <c r="D21" s="17"/>
      <c r="E21" s="17"/>
      <c r="F21" s="119">
        <v>66000</v>
      </c>
      <c r="G21" s="120"/>
      <c r="H21" s="13"/>
      <c r="I21" s="13"/>
      <c r="J21" s="15"/>
      <c r="K21" s="13"/>
      <c r="L21" s="13"/>
      <c r="M21" s="13"/>
      <c r="N21" s="13"/>
      <c r="O21" s="13"/>
      <c r="P21" s="41"/>
      <c r="Q21" s="41"/>
      <c r="R21" s="13"/>
      <c r="S21" s="13">
        <v>70096.84</v>
      </c>
      <c r="T21" s="29">
        <f>H21+I21+J21+K21+L21+M21+N21+O21+P21+Q21+R21+S21</f>
        <v>70096.84</v>
      </c>
    </row>
    <row r="22" spans="1:20" ht="12.75">
      <c r="A22" s="13">
        <v>6</v>
      </c>
      <c r="B22" s="114" t="s">
        <v>145</v>
      </c>
      <c r="C22" s="114"/>
      <c r="D22" s="114"/>
      <c r="E22" s="114"/>
      <c r="F22" s="110"/>
      <c r="G22" s="110"/>
      <c r="H22" s="13"/>
      <c r="I22" s="13"/>
      <c r="J22" s="15"/>
      <c r="K22" s="13"/>
      <c r="L22" s="13"/>
      <c r="M22" s="13"/>
      <c r="N22" s="13"/>
      <c r="O22" s="13"/>
      <c r="P22" s="41"/>
      <c r="Q22" s="41"/>
      <c r="R22" s="13"/>
      <c r="S22" s="13"/>
      <c r="T22" s="29"/>
    </row>
    <row r="23" spans="1:20" ht="12.75">
      <c r="A23" s="13">
        <v>6</v>
      </c>
      <c r="B23" s="17" t="s">
        <v>27</v>
      </c>
      <c r="C23" s="17"/>
      <c r="D23" s="17"/>
      <c r="E23" s="17"/>
      <c r="F23" s="18"/>
      <c r="G23" s="18"/>
      <c r="H23" s="13"/>
      <c r="I23" s="13"/>
      <c r="J23" s="15"/>
      <c r="K23" s="13"/>
      <c r="L23" s="13"/>
      <c r="M23" s="13"/>
      <c r="N23" s="13"/>
      <c r="O23" s="13"/>
      <c r="P23" s="41"/>
      <c r="Q23" s="41"/>
      <c r="R23" s="13"/>
      <c r="S23" s="13"/>
      <c r="T23" s="29"/>
    </row>
    <row r="24" spans="1:20" ht="12.75">
      <c r="A24" s="13">
        <v>6</v>
      </c>
      <c r="B24" s="115" t="s">
        <v>5</v>
      </c>
      <c r="C24" s="115"/>
      <c r="D24" s="115"/>
      <c r="E24" s="115"/>
      <c r="F24" s="110">
        <v>8000</v>
      </c>
      <c r="G24" s="110"/>
      <c r="H24" s="13">
        <v>1082.68</v>
      </c>
      <c r="I24" s="13">
        <v>1057.13</v>
      </c>
      <c r="J24" s="15">
        <v>897.64</v>
      </c>
      <c r="K24" s="13">
        <v>945.49</v>
      </c>
      <c r="L24" s="13">
        <f>842.9</f>
        <v>842.9</v>
      </c>
      <c r="M24" s="13">
        <f>885.87</f>
        <v>885.87</v>
      </c>
      <c r="N24" s="13">
        <f>955.74</f>
        <v>955.74</v>
      </c>
      <c r="O24" s="41">
        <v>1010.23</v>
      </c>
      <c r="P24" s="41">
        <f>1000.4</f>
        <v>1000.4</v>
      </c>
      <c r="Q24" s="41">
        <f>975.49</f>
        <v>975.49</v>
      </c>
      <c r="R24" s="13">
        <f>1084.48</f>
        <v>1084.48</v>
      </c>
      <c r="S24" s="13">
        <f>1189.95</f>
        <v>1189.95</v>
      </c>
      <c r="T24" s="29">
        <f>H24+I24+J24+K24+L24+M24+N24+O24+P24+Q24+R24+S24</f>
        <v>11928</v>
      </c>
    </row>
    <row r="25" spans="1:20" ht="12.75">
      <c r="A25" s="13">
        <v>7</v>
      </c>
      <c r="B25" s="115" t="s">
        <v>162</v>
      </c>
      <c r="C25" s="115"/>
      <c r="D25" s="115"/>
      <c r="E25" s="115"/>
      <c r="F25" s="110">
        <v>55880</v>
      </c>
      <c r="G25" s="110"/>
      <c r="H25" s="13">
        <v>15500</v>
      </c>
      <c r="I25" s="13">
        <v>14190</v>
      </c>
      <c r="J25" s="15">
        <v>24090</v>
      </c>
      <c r="K25" s="13">
        <v>1700</v>
      </c>
      <c r="L25" s="13"/>
      <c r="M25" s="13"/>
      <c r="N25" s="13"/>
      <c r="O25" s="13"/>
      <c r="P25" s="41"/>
      <c r="Q25" s="41"/>
      <c r="R25" s="13"/>
      <c r="S25" s="13"/>
      <c r="T25" s="29">
        <f>H25+I25+J25+K25+L25+M25+N25+O25+P25+Q25+R25+S25</f>
        <v>55480</v>
      </c>
    </row>
    <row r="26" spans="1:20" ht="12.75">
      <c r="A26" s="13"/>
      <c r="B26" s="19"/>
      <c r="C26" s="19"/>
      <c r="D26" s="19"/>
      <c r="E26" s="19"/>
      <c r="F26" s="110"/>
      <c r="G26" s="110"/>
      <c r="H26" s="13"/>
      <c r="I26" s="13"/>
      <c r="J26" s="20"/>
      <c r="K26" s="13"/>
      <c r="L26" s="13"/>
      <c r="M26" s="13"/>
      <c r="N26" s="13"/>
      <c r="O26" s="13"/>
      <c r="P26" s="41"/>
      <c r="Q26" s="41"/>
      <c r="R26" s="13"/>
      <c r="S26" s="13"/>
      <c r="T26" s="29"/>
    </row>
    <row r="27" spans="1:21" ht="12.75">
      <c r="A27" s="74"/>
      <c r="B27" s="124" t="s">
        <v>6</v>
      </c>
      <c r="C27" s="124"/>
      <c r="D27" s="124"/>
      <c r="E27" s="124"/>
      <c r="F27" s="125">
        <f>SUM(F17:F25)</f>
        <v>4277616</v>
      </c>
      <c r="G27" s="125"/>
      <c r="H27" s="75">
        <f aca="true" t="shared" si="0" ref="H27:S27">SUM(H17:H26)</f>
        <v>178236.68</v>
      </c>
      <c r="I27" s="75">
        <f t="shared" si="0"/>
        <v>140101.13</v>
      </c>
      <c r="J27" s="75">
        <f t="shared" si="0"/>
        <v>182660.64</v>
      </c>
      <c r="K27" s="75">
        <f t="shared" si="0"/>
        <v>124265.49</v>
      </c>
      <c r="L27" s="75">
        <f t="shared" si="0"/>
        <v>174847.9</v>
      </c>
      <c r="M27" s="75">
        <f t="shared" si="0"/>
        <v>139830.87</v>
      </c>
      <c r="N27" s="75">
        <f t="shared" si="0"/>
        <v>129508.74</v>
      </c>
      <c r="O27" s="75">
        <f t="shared" si="0"/>
        <v>64407.23</v>
      </c>
      <c r="P27" s="75">
        <f t="shared" si="0"/>
        <v>126940.4</v>
      </c>
      <c r="Q27" s="75">
        <f t="shared" si="0"/>
        <v>76678.49</v>
      </c>
      <c r="R27" s="75">
        <f t="shared" si="0"/>
        <v>178092.48</v>
      </c>
      <c r="S27" s="75">
        <f t="shared" si="0"/>
        <v>2626620.4299999997</v>
      </c>
      <c r="T27" s="76">
        <f>H27+I27+J27+K27+L27+M27+N27+O27+P27+Q27+R27+S27</f>
        <v>4142190.4799999995</v>
      </c>
      <c r="U27" s="2"/>
    </row>
    <row r="28" spans="1:20" ht="12.75">
      <c r="A28" s="13"/>
      <c r="B28" s="13" t="s">
        <v>99</v>
      </c>
      <c r="C28" s="13"/>
      <c r="D28" s="13"/>
      <c r="E28" s="13"/>
      <c r="F28" s="14"/>
      <c r="G28" s="14"/>
      <c r="H28" s="13"/>
      <c r="I28" s="13"/>
      <c r="J28" s="20"/>
      <c r="K28" s="13"/>
      <c r="L28" s="13"/>
      <c r="M28" s="13"/>
      <c r="N28" s="13"/>
      <c r="O28" s="41"/>
      <c r="P28" s="41"/>
      <c r="Q28" s="41"/>
      <c r="R28" s="13"/>
      <c r="S28" s="41"/>
      <c r="T28" s="16"/>
    </row>
    <row r="29" spans="1:20" ht="17.25">
      <c r="A29" s="113" t="s">
        <v>7</v>
      </c>
      <c r="B29" s="113"/>
      <c r="C29" s="113"/>
      <c r="D29" s="13"/>
      <c r="E29" s="13"/>
      <c r="F29" s="14"/>
      <c r="G29" s="14"/>
      <c r="H29" s="13" t="s">
        <v>49</v>
      </c>
      <c r="I29" s="13"/>
      <c r="J29" s="20"/>
      <c r="K29" s="13"/>
      <c r="L29" s="13"/>
      <c r="M29" s="13"/>
      <c r="N29" s="13"/>
      <c r="O29" s="13"/>
      <c r="P29" s="13"/>
      <c r="Q29" s="13"/>
      <c r="R29" s="13"/>
      <c r="S29" s="13"/>
      <c r="T29" s="16"/>
    </row>
    <row r="30" spans="1:20" ht="12.75">
      <c r="A30" s="13"/>
      <c r="B30" s="13"/>
      <c r="C30" s="13"/>
      <c r="D30" s="13"/>
      <c r="E30" s="13"/>
      <c r="F30" s="14"/>
      <c r="G30" s="14"/>
      <c r="H30" s="13"/>
      <c r="I30" s="13"/>
      <c r="J30" s="20"/>
      <c r="K30" s="13"/>
      <c r="L30" s="13"/>
      <c r="M30" s="13"/>
      <c r="N30" s="13"/>
      <c r="O30" s="13"/>
      <c r="P30" s="13"/>
      <c r="Q30" s="13"/>
      <c r="R30" s="13"/>
      <c r="S30" s="13"/>
      <c r="T30" s="16"/>
    </row>
    <row r="31" spans="1:20" ht="12.75">
      <c r="A31" s="43" t="s">
        <v>100</v>
      </c>
      <c r="B31" s="126" t="s">
        <v>137</v>
      </c>
      <c r="C31" s="127"/>
      <c r="D31" s="127"/>
      <c r="E31" s="127"/>
      <c r="F31"/>
      <c r="G31"/>
      <c r="T31"/>
    </row>
    <row r="32" spans="1:20" ht="12.75">
      <c r="A32" s="13"/>
      <c r="B32" s="13"/>
      <c r="C32" s="13"/>
      <c r="D32" s="13"/>
      <c r="E32" s="13"/>
      <c r="F32" s="14"/>
      <c r="G32" s="14"/>
      <c r="H32" s="13"/>
      <c r="I32" s="13"/>
      <c r="J32" s="20"/>
      <c r="K32" s="13"/>
      <c r="L32" s="13"/>
      <c r="M32" s="13"/>
      <c r="N32" s="13"/>
      <c r="O32" s="13"/>
      <c r="P32" s="13"/>
      <c r="Q32" s="13"/>
      <c r="R32" s="13"/>
      <c r="S32" s="13"/>
      <c r="T32" s="16"/>
    </row>
    <row r="33" spans="1:20" ht="12.75">
      <c r="A33" s="13"/>
      <c r="B33" s="13"/>
      <c r="C33" s="13"/>
      <c r="D33" s="13"/>
      <c r="E33" s="13"/>
      <c r="F33" s="14"/>
      <c r="G33" s="14"/>
      <c r="H33" s="13"/>
      <c r="I33" s="13"/>
      <c r="J33" s="20"/>
      <c r="K33" s="13"/>
      <c r="L33" s="13"/>
      <c r="M33" s="13"/>
      <c r="N33" s="13"/>
      <c r="O33" s="13"/>
      <c r="P33" s="13"/>
      <c r="Q33" s="13"/>
      <c r="R33" s="13"/>
      <c r="S33" s="13"/>
      <c r="T33" s="16"/>
    </row>
    <row r="34" spans="1:20" ht="12.75">
      <c r="A34" s="14">
        <v>1</v>
      </c>
      <c r="B34" s="128" t="s">
        <v>101</v>
      </c>
      <c r="C34" s="129"/>
      <c r="D34" s="129"/>
      <c r="E34" s="130"/>
      <c r="F34" s="14"/>
      <c r="G34" s="14"/>
      <c r="H34" s="13"/>
      <c r="I34" s="13"/>
      <c r="J34" s="20"/>
      <c r="K34" s="13"/>
      <c r="L34" s="13"/>
      <c r="M34" s="13"/>
      <c r="N34" s="13"/>
      <c r="O34" s="13"/>
      <c r="P34" s="13"/>
      <c r="Q34" s="13"/>
      <c r="R34" s="13"/>
      <c r="S34" s="13"/>
      <c r="T34" s="16"/>
    </row>
    <row r="35" spans="1:20" ht="12.75">
      <c r="A35" s="44">
        <v>1.1</v>
      </c>
      <c r="B35" s="114" t="s">
        <v>102</v>
      </c>
      <c r="C35" s="114"/>
      <c r="D35" s="114"/>
      <c r="E35" s="114"/>
      <c r="F35" s="110">
        <v>280000</v>
      </c>
      <c r="G35" s="110"/>
      <c r="H35" s="20">
        <f>3000+1200+1200+6000+1000+3454+1567+1474+7743+1120</f>
        <v>27758</v>
      </c>
      <c r="I35" s="20">
        <f>4148+3000+1200+1200+7000+1000+3453+1566+1475+6744+1120</f>
        <v>31906</v>
      </c>
      <c r="J35" s="20">
        <f>4148+4277+3000+1200+1200+7000+1000+3389+1567+1474+6678+1121</f>
        <v>36054</v>
      </c>
      <c r="K35" s="32">
        <f>3000+1300+1300+6000+1000+3454+1466+1375+7744+1120</f>
        <v>27759</v>
      </c>
      <c r="L35" s="20">
        <f>4147+3000+1300+1300+6000+1000+3388+1467+1374+7678+1120</f>
        <v>31774</v>
      </c>
      <c r="M35" s="20">
        <f>4279+3000+1300+1300+7000+1000+3454+1467+1374+6743+1120</f>
        <v>32037</v>
      </c>
      <c r="N35" s="20">
        <f>4148+4537+3000+1300+1300+7000+1000+2600+3454+1466+1375+6744+1130</f>
        <v>39054</v>
      </c>
      <c r="O35" s="20">
        <f>4425+10000+3000+1300+1300+1000+5193+1467+1374+3854.62+1121</f>
        <v>34034.62</v>
      </c>
      <c r="P35" s="20">
        <f>4538+3000+7000+3454+6744</f>
        <v>24736</v>
      </c>
      <c r="Q35" s="20">
        <f>3000+7000+3454+6743-69536</f>
        <v>-49339</v>
      </c>
      <c r="R35" s="20">
        <f>6076-1929+4579+10000+4700.2+11143.14</f>
        <v>34569.34</v>
      </c>
      <c r="S35" s="20">
        <f>3733+10000+3454+6744</f>
        <v>23931</v>
      </c>
      <c r="T35" s="29">
        <f aca="true" t="shared" si="1" ref="T35:T44">H35+I35+J35+K35+L35+M35+N35+O35+P35+Q35+R35+S35</f>
        <v>294273.95999999996</v>
      </c>
    </row>
    <row r="36" spans="1:20" ht="12.75">
      <c r="A36" s="13">
        <v>1.2</v>
      </c>
      <c r="B36" s="17" t="s">
        <v>103</v>
      </c>
      <c r="C36" s="17"/>
      <c r="D36" s="17"/>
      <c r="E36" s="17"/>
      <c r="F36" s="110">
        <v>350000</v>
      </c>
      <c r="G36" s="109"/>
      <c r="H36" s="13">
        <f>2500+9000+9509+3494</f>
        <v>24503</v>
      </c>
      <c r="I36" s="13">
        <f>3587+9000+2500+3495</f>
        <v>18582</v>
      </c>
      <c r="J36" s="15">
        <f>3586+3717+9509+9000+2500+9444+3429</f>
        <v>41185</v>
      </c>
      <c r="K36" s="22">
        <f>9000+2500+9509+3494</f>
        <v>24503</v>
      </c>
      <c r="L36" s="13">
        <f>3597+9000+2500+9444+3429</f>
        <v>27970</v>
      </c>
      <c r="M36" s="13">
        <f>3717+9000+2500+9509+3495</f>
        <v>28221</v>
      </c>
      <c r="N36" s="13">
        <f>3586+3587+10000+2500+8509+3494</f>
        <v>31676</v>
      </c>
      <c r="O36" s="13">
        <f>3587+10000+2500+8509+3494</f>
        <v>28090</v>
      </c>
      <c r="P36" s="13">
        <f>3586+10000+2500+8509+3495</f>
        <v>28090</v>
      </c>
      <c r="Q36" s="13">
        <f>10000+2500+7234.6+3494+12911</f>
        <v>36139.6</v>
      </c>
      <c r="R36" s="13">
        <f>3396+1929+3587+10000+2500+8509+3494</f>
        <v>33415</v>
      </c>
      <c r="S36" s="13">
        <f>3720+10000+2500+8509+4387.73</f>
        <v>29116.73</v>
      </c>
      <c r="T36" s="29">
        <f t="shared" si="1"/>
        <v>351491.32999999996</v>
      </c>
    </row>
    <row r="37" spans="1:20" ht="12.75">
      <c r="A37" s="13">
        <v>1.3</v>
      </c>
      <c r="B37" s="114" t="s">
        <v>104</v>
      </c>
      <c r="C37" s="114"/>
      <c r="D37" s="114"/>
      <c r="E37" s="114"/>
      <c r="F37" s="110">
        <v>90000</v>
      </c>
      <c r="G37" s="110"/>
      <c r="H37" s="20"/>
      <c r="I37" s="20">
        <f>9635.61</f>
        <v>9635.61</v>
      </c>
      <c r="J37" s="20">
        <f>9635.61+9937.61</f>
        <v>19573.22</v>
      </c>
      <c r="K37" s="20"/>
      <c r="L37" s="20">
        <f>2729</f>
        <v>2729</v>
      </c>
      <c r="M37" s="20">
        <f>9937.63</f>
        <v>9937.63</v>
      </c>
      <c r="N37" s="20">
        <f>9635.59+10541.61</f>
        <v>20177.2</v>
      </c>
      <c r="O37" s="20">
        <f>10278.46</f>
        <v>10278.46</v>
      </c>
      <c r="P37" s="20">
        <v>10541.61</v>
      </c>
      <c r="Q37" s="20">
        <f>-20999.84</f>
        <v>-20999.84</v>
      </c>
      <c r="R37" s="20">
        <f>9635.61+10635.32</f>
        <v>20270.93</v>
      </c>
      <c r="S37" s="20">
        <v>8675.26</v>
      </c>
      <c r="T37" s="29">
        <f t="shared" si="1"/>
        <v>90819.08</v>
      </c>
    </row>
    <row r="38" spans="1:20" ht="12.75">
      <c r="A38" s="13">
        <v>1.4</v>
      </c>
      <c r="B38" s="114" t="s">
        <v>48</v>
      </c>
      <c r="C38" s="114"/>
      <c r="D38" s="114"/>
      <c r="E38" s="114"/>
      <c r="F38" s="110">
        <v>25000</v>
      </c>
      <c r="G38" s="110"/>
      <c r="H38" s="20"/>
      <c r="I38" s="20"/>
      <c r="J38" s="20">
        <f>1000+500+2500+500+1500+500+1500</f>
        <v>8000</v>
      </c>
      <c r="K38" s="20"/>
      <c r="L38" s="20">
        <f>1000+2000+1000+1000+500+500</f>
        <v>6000</v>
      </c>
      <c r="M38" s="20"/>
      <c r="N38" s="20"/>
      <c r="O38" s="20"/>
      <c r="P38" s="20"/>
      <c r="Q38" s="20"/>
      <c r="R38" s="20"/>
      <c r="S38" s="20"/>
      <c r="T38" s="29">
        <f t="shared" si="1"/>
        <v>14000</v>
      </c>
    </row>
    <row r="39" spans="1:20" ht="12.75">
      <c r="A39" s="13">
        <v>1.5</v>
      </c>
      <c r="B39" s="115" t="s">
        <v>13</v>
      </c>
      <c r="C39" s="115"/>
      <c r="D39" s="115"/>
      <c r="E39" s="115"/>
      <c r="F39" s="110">
        <v>70000</v>
      </c>
      <c r="G39" s="110"/>
      <c r="H39" s="13">
        <f>45+840+24+90+720+12+1020+490+1010</f>
        <v>4251</v>
      </c>
      <c r="I39" s="13">
        <f>24+90+12+1140+12+90+840+12+90+840+490+1010+885</f>
        <v>5535</v>
      </c>
      <c r="J39" s="20">
        <f>45+780+36+45+1080+90+12+45+90+840+45+660+12+45+490+1010</f>
        <v>5325</v>
      </c>
      <c r="K39" s="20">
        <f>45+900+12+660+12+135+840+1140+24+90+720+490+1010</f>
        <v>6078</v>
      </c>
      <c r="L39" s="13">
        <f>90+12+960+45+24+45+45+12+135+1200+660+490+1010</f>
        <v>4728</v>
      </c>
      <c r="M39" s="13">
        <f>12+45+1140+12+45+24+45+900+840+12+840+840+90+135+600+490+1010</f>
        <v>7080</v>
      </c>
      <c r="N39" s="13">
        <f>12+90+600+24+90+750+135+45+1200+12+24+90+750+650+1010</f>
        <v>5482</v>
      </c>
      <c r="O39" s="13">
        <f>600+45+12+45+1200+24+180+810+12+650+1010</f>
        <v>4588</v>
      </c>
      <c r="P39" s="13">
        <f>12+45+1380+90+12+90+660+870+24+270+45+650+750+1010</f>
        <v>5908</v>
      </c>
      <c r="Q39" s="13">
        <f>1020+1200+12+45+888+45+650+1010</f>
        <v>4870</v>
      </c>
      <c r="R39" s="13">
        <f>90+1074+24+1110+135+12+540+600+12+45+750+135+12+12+650+1010</f>
        <v>6211</v>
      </c>
      <c r="S39" s="13">
        <f>960+12+90+12+45+540+480+12+135+24+45+720+12+45+840+1020+24+225+300+650+1010</f>
        <v>7201</v>
      </c>
      <c r="T39" s="29">
        <f t="shared" si="1"/>
        <v>67257</v>
      </c>
    </row>
    <row r="40" spans="1:20" ht="12.75">
      <c r="A40" s="13">
        <v>1.6</v>
      </c>
      <c r="B40" s="115" t="s">
        <v>105</v>
      </c>
      <c r="C40" s="115"/>
      <c r="D40" s="115"/>
      <c r="E40" s="115"/>
      <c r="F40" s="110">
        <v>12000</v>
      </c>
      <c r="G40" s="110"/>
      <c r="H40" s="13">
        <v>1016.33</v>
      </c>
      <c r="I40" s="13">
        <f>745.23</f>
        <v>745.23</v>
      </c>
      <c r="J40" s="15">
        <f>877.16+200+300</f>
        <v>1377.1599999999999</v>
      </c>
      <c r="K40" s="20">
        <f>851.25+200</f>
        <v>1051.25</v>
      </c>
      <c r="L40" s="20">
        <f>976.24</f>
        <v>976.24</v>
      </c>
      <c r="M40" s="20">
        <f>834.38</f>
        <v>834.38</v>
      </c>
      <c r="N40" s="20">
        <f>798.49+300</f>
        <v>1098.49</v>
      </c>
      <c r="O40" s="20">
        <f>918.5</f>
        <v>918.5</v>
      </c>
      <c r="P40" s="20">
        <f>897.59</f>
        <v>897.59</v>
      </c>
      <c r="Q40" s="20">
        <v>892.97</v>
      </c>
      <c r="R40" s="20">
        <v>1222.24</v>
      </c>
      <c r="S40" s="20">
        <v>897.56</v>
      </c>
      <c r="T40" s="29">
        <f t="shared" si="1"/>
        <v>11927.939999999997</v>
      </c>
    </row>
    <row r="41" spans="1:20" ht="12.75">
      <c r="A41" s="13">
        <v>1.7</v>
      </c>
      <c r="B41" s="115" t="s">
        <v>106</v>
      </c>
      <c r="C41" s="115"/>
      <c r="D41" s="115"/>
      <c r="E41" s="115"/>
      <c r="F41" s="110">
        <v>20000</v>
      </c>
      <c r="G41" s="110"/>
      <c r="H41" s="20"/>
      <c r="I41" s="20">
        <f>400</f>
        <v>400</v>
      </c>
      <c r="J41" s="20">
        <f>4350.22+301.82+282.8</f>
        <v>4934.84</v>
      </c>
      <c r="K41" s="20">
        <f>322.4+979.5+200.4</f>
        <v>1502.3000000000002</v>
      </c>
      <c r="L41" s="20">
        <f>600</f>
        <v>600</v>
      </c>
      <c r="M41" s="20">
        <f>400</f>
        <v>400</v>
      </c>
      <c r="N41" s="20"/>
      <c r="O41" s="20"/>
      <c r="P41" s="20">
        <f>90</f>
        <v>90</v>
      </c>
      <c r="Q41" s="20"/>
      <c r="R41" s="20">
        <f>1400+5592.75+750</f>
        <v>7742.75</v>
      </c>
      <c r="S41" s="20">
        <f>1000+110</f>
        <v>1110</v>
      </c>
      <c r="T41" s="29">
        <f t="shared" si="1"/>
        <v>16779.89</v>
      </c>
    </row>
    <row r="42" spans="1:20" ht="12.75">
      <c r="A42" s="13">
        <v>1.8</v>
      </c>
      <c r="B42" s="115" t="s">
        <v>30</v>
      </c>
      <c r="C42" s="115"/>
      <c r="D42" s="115"/>
      <c r="E42" s="115"/>
      <c r="F42" s="110">
        <v>12000</v>
      </c>
      <c r="G42" s="110"/>
      <c r="H42" s="20"/>
      <c r="I42" s="20"/>
      <c r="J42" s="20">
        <f>160+180+160+653</f>
        <v>1153</v>
      </c>
      <c r="K42" s="20">
        <f>100+130+27+850</f>
        <v>1107</v>
      </c>
      <c r="L42" s="20">
        <f>100</f>
        <v>100</v>
      </c>
      <c r="M42" s="20">
        <f>115+120</f>
        <v>235</v>
      </c>
      <c r="N42" s="20">
        <f>135+165</f>
        <v>300</v>
      </c>
      <c r="O42" s="20"/>
      <c r="P42" s="20">
        <f>120+800+70+160+165+65+100+120+127.44+170+619.9+749.9+100</f>
        <v>3367.2400000000002</v>
      </c>
      <c r="Q42" s="20"/>
      <c r="R42" s="20"/>
      <c r="S42" s="20">
        <f>346+190+180.83+500+200+180+400+417+105+105</f>
        <v>2623.83</v>
      </c>
      <c r="T42" s="29">
        <f t="shared" si="1"/>
        <v>8886.07</v>
      </c>
    </row>
    <row r="43" spans="1:20" ht="12.75">
      <c r="A43" s="13">
        <v>1.9</v>
      </c>
      <c r="B43" s="115" t="s">
        <v>91</v>
      </c>
      <c r="C43" s="115"/>
      <c r="D43" s="115"/>
      <c r="E43" s="115"/>
      <c r="F43" s="110">
        <v>4000</v>
      </c>
      <c r="G43" s="110"/>
      <c r="H43" s="13"/>
      <c r="I43" s="13"/>
      <c r="J43" s="20"/>
      <c r="K43" s="23"/>
      <c r="L43" s="13"/>
      <c r="M43" s="20"/>
      <c r="N43" s="13"/>
      <c r="O43" s="13"/>
      <c r="P43" s="20"/>
      <c r="Q43" s="13"/>
      <c r="R43" s="13">
        <f>3600</f>
        <v>3600</v>
      </c>
      <c r="S43" s="13">
        <f>1179.75+668.25+308+583</f>
        <v>2739</v>
      </c>
      <c r="T43" s="29">
        <f t="shared" si="1"/>
        <v>6339</v>
      </c>
    </row>
    <row r="44" spans="1:20" ht="12.75">
      <c r="A44" s="41">
        <v>1.1</v>
      </c>
      <c r="B44" s="115" t="s">
        <v>107</v>
      </c>
      <c r="C44" s="115"/>
      <c r="D44" s="115"/>
      <c r="E44" s="115"/>
      <c r="F44" s="117">
        <v>50000</v>
      </c>
      <c r="G44" s="117"/>
      <c r="H44" s="20"/>
      <c r="I44" s="13"/>
      <c r="J44" s="20"/>
      <c r="K44" s="20"/>
      <c r="L44" s="20"/>
      <c r="M44" s="20"/>
      <c r="N44" s="20"/>
      <c r="O44" s="20"/>
      <c r="P44" s="20"/>
      <c r="Q44" s="13"/>
      <c r="R44" s="20"/>
      <c r="S44" s="20">
        <v>45990</v>
      </c>
      <c r="T44" s="29">
        <f t="shared" si="1"/>
        <v>45990</v>
      </c>
    </row>
    <row r="45" spans="1:20" ht="12.75">
      <c r="A45" s="41"/>
      <c r="B45" s="19"/>
      <c r="C45" s="19"/>
      <c r="D45" s="19"/>
      <c r="E45" s="19"/>
      <c r="F45" s="42"/>
      <c r="G45" s="42"/>
      <c r="H45" s="20"/>
      <c r="I45" s="13"/>
      <c r="J45" s="20"/>
      <c r="K45" s="20"/>
      <c r="L45" s="20"/>
      <c r="M45" s="20"/>
      <c r="N45" s="20"/>
      <c r="O45" s="20"/>
      <c r="P45" s="20"/>
      <c r="Q45" s="13"/>
      <c r="R45" s="20"/>
      <c r="S45" s="20"/>
      <c r="T45" s="29"/>
    </row>
    <row r="46" spans="1:21" ht="12.75">
      <c r="A46" s="77"/>
      <c r="B46" s="48" t="s">
        <v>6</v>
      </c>
      <c r="C46" s="49"/>
      <c r="D46" s="49"/>
      <c r="E46" s="49"/>
      <c r="F46" s="131">
        <f>SUM(F35:F45)</f>
        <v>913000</v>
      </c>
      <c r="G46" s="132"/>
      <c r="H46" s="74">
        <f aca="true" t="shared" si="2" ref="H46:S46">SUM(H35:H45)</f>
        <v>57528.33</v>
      </c>
      <c r="I46" s="74">
        <f t="shared" si="2"/>
        <v>66803.84</v>
      </c>
      <c r="J46" s="74">
        <f t="shared" si="2"/>
        <v>117602.22</v>
      </c>
      <c r="K46" s="74">
        <f t="shared" si="2"/>
        <v>62000.55</v>
      </c>
      <c r="L46" s="74">
        <f t="shared" si="2"/>
        <v>74877.24</v>
      </c>
      <c r="M46" s="74">
        <f t="shared" si="2"/>
        <v>78745.01000000001</v>
      </c>
      <c r="N46" s="74">
        <f t="shared" si="2"/>
        <v>97787.69</v>
      </c>
      <c r="O46" s="74">
        <f t="shared" si="2"/>
        <v>77909.58</v>
      </c>
      <c r="P46" s="74">
        <f t="shared" si="2"/>
        <v>73630.44</v>
      </c>
      <c r="Q46" s="74">
        <f t="shared" si="2"/>
        <v>-28436.270000000004</v>
      </c>
      <c r="R46" s="74">
        <f t="shared" si="2"/>
        <v>107031.26</v>
      </c>
      <c r="S46" s="74">
        <f t="shared" si="2"/>
        <v>122284.37999999999</v>
      </c>
      <c r="T46" s="76">
        <f>H46+I46+J46+K46+L46+M46+N46+O46+P46+Q46+R46+S46</f>
        <v>907764.2699999999</v>
      </c>
      <c r="U46" s="2"/>
    </row>
    <row r="47" spans="1:20" ht="12.75">
      <c r="A47" s="41"/>
      <c r="B47" s="19"/>
      <c r="C47" s="19"/>
      <c r="D47" s="19"/>
      <c r="E47" s="19"/>
      <c r="F47" s="42"/>
      <c r="G47" s="42"/>
      <c r="H47" s="20"/>
      <c r="I47" s="13"/>
      <c r="J47" s="20"/>
      <c r="K47" s="20"/>
      <c r="L47" s="20"/>
      <c r="M47" s="20"/>
      <c r="N47" s="20"/>
      <c r="O47" s="20"/>
      <c r="P47" s="20"/>
      <c r="Q47" s="13"/>
      <c r="R47" s="20"/>
      <c r="S47" s="20"/>
      <c r="T47" s="29"/>
    </row>
    <row r="48" spans="1:20" ht="12.75">
      <c r="A48" s="13"/>
      <c r="B48" s="115"/>
      <c r="C48" s="115"/>
      <c r="D48" s="115"/>
      <c r="E48" s="115"/>
      <c r="F48" s="117"/>
      <c r="G48" s="117"/>
      <c r="H48" s="20"/>
      <c r="I48" s="13"/>
      <c r="J48" s="15"/>
      <c r="K48" s="23"/>
      <c r="L48" s="13"/>
      <c r="M48" s="13"/>
      <c r="N48" s="13"/>
      <c r="O48" s="13"/>
      <c r="P48" s="20"/>
      <c r="Q48" s="13"/>
      <c r="R48" s="13"/>
      <c r="S48" s="13"/>
      <c r="T48" s="29" t="s">
        <v>73</v>
      </c>
    </row>
    <row r="49" spans="1:20" ht="12.75">
      <c r="A49" s="45">
        <v>2</v>
      </c>
      <c r="B49" s="133" t="s">
        <v>117</v>
      </c>
      <c r="C49" s="133"/>
      <c r="D49" s="133"/>
      <c r="E49" s="133"/>
      <c r="F49" s="117"/>
      <c r="G49" s="117"/>
      <c r="H49" s="13"/>
      <c r="I49" s="13"/>
      <c r="J49" s="15"/>
      <c r="K49" s="23"/>
      <c r="L49" s="13"/>
      <c r="M49" s="20"/>
      <c r="N49" s="32"/>
      <c r="O49" s="32"/>
      <c r="P49" s="13"/>
      <c r="Q49" s="13"/>
      <c r="R49" s="13"/>
      <c r="S49" s="13"/>
      <c r="T49" s="29" t="s">
        <v>73</v>
      </c>
    </row>
    <row r="50" spans="1:20" ht="12.75">
      <c r="A50" s="13">
        <v>2.1</v>
      </c>
      <c r="B50" s="115" t="s">
        <v>109</v>
      </c>
      <c r="C50" s="115"/>
      <c r="D50" s="115"/>
      <c r="E50" s="115"/>
      <c r="F50" s="110">
        <v>604000</v>
      </c>
      <c r="G50" s="110"/>
      <c r="H50" s="13">
        <f>2500+800+3500+1500+3000+2000+3500+3033+1014+3671+2128+2913+2310+3671</f>
        <v>35540</v>
      </c>
      <c r="I50" s="13">
        <f>5311+2500+800+3500+1500+3000+2000+3500-822+500+3468+1014+4107+2128+2912+2745+4107</f>
        <v>42270</v>
      </c>
      <c r="J50" s="15">
        <f>6392+7084-598-1046+2500+1300+3500+1500+3000+2000+3500+3034+949+3671+2063+2913+2310+3671</f>
        <v>47743</v>
      </c>
      <c r="K50" s="23">
        <f>2500+900+3500+1800+2500+2000+3500-4483+3033+914+3672+1828+3412+2310+3672</f>
        <v>31058</v>
      </c>
      <c r="L50" s="13">
        <f>9783+2500+900+3500+1800+2500+2000+3500-17.48+3033+1658.44+3671+1827+1238+2310+3671</f>
        <v>43873.96</v>
      </c>
      <c r="M50" s="20">
        <f>5116+2500+3500+1800+2500+2000+3500-117.37+3033+1045.34+3671+1828+3412+2310+3671</f>
        <v>39768.97</v>
      </c>
      <c r="N50" s="13">
        <f>5315+7819-672+2500+800+3500+1800+2500+2000+3500-1644+3033+1014+4607.17+1828+3413+2310+4032.35</f>
        <v>47655.52</v>
      </c>
      <c r="O50" s="13">
        <f>5259+2500+800+3500+1800+2500+2000+3500+3034+1014+3672+1828+3412+2310+3329.48</f>
        <v>40458.48</v>
      </c>
      <c r="P50" s="13">
        <f>8077+2500+800+3500+1800+2500+2000+1300+1300+1000+3500-747+3033+1014+3671+1828+5936+2310+1466+1374+1120+3672-1644+2610</f>
        <v>53920</v>
      </c>
      <c r="Q50" s="13">
        <f>2500+800+3500+1800+2500+2000+1300+1300+1000+3500+3033+1014+3671+1828+3412+2310+1467+1375+1120+5411+69536</f>
        <v>114377</v>
      </c>
      <c r="R50" s="13">
        <f>5572+8896-1943-1644+18900+21436</f>
        <v>51217</v>
      </c>
      <c r="S50" s="13">
        <f>9262-1196+18900-598-2092+3033+1014+3671+1828+3412+2245+1375+1120+3671</f>
        <v>45645</v>
      </c>
      <c r="T50" s="29">
        <f aca="true" t="shared" si="3" ref="T50:T64">H50+I50+J50+K50+L50+M50+N50+O50+P50+Q50+R50+S50</f>
        <v>593526.9299999999</v>
      </c>
    </row>
    <row r="51" spans="1:20" ht="12.75">
      <c r="A51" s="13">
        <v>2.2</v>
      </c>
      <c r="B51" s="115" t="s">
        <v>104</v>
      </c>
      <c r="C51" s="115"/>
      <c r="D51" s="115"/>
      <c r="E51" s="115"/>
      <c r="F51" s="117">
        <v>190000</v>
      </c>
      <c r="G51" s="117"/>
      <c r="H51" s="13"/>
      <c r="I51" s="13">
        <f>12337.02</f>
        <v>12337.02</v>
      </c>
      <c r="J51" s="15">
        <f>14850.24+25225.32</f>
        <v>40075.56</v>
      </c>
      <c r="K51" s="23"/>
      <c r="L51" s="13">
        <v>4747.98</v>
      </c>
      <c r="M51" s="13">
        <f>17609.09</f>
        <v>17609.09</v>
      </c>
      <c r="N51" s="13">
        <f>6615.18+12786.86</f>
        <v>19402.04</v>
      </c>
      <c r="O51" s="13">
        <v>12218.52</v>
      </c>
      <c r="P51" s="13">
        <v>13212.81</v>
      </c>
      <c r="Q51" s="13">
        <f>20999.84</f>
        <v>20999.84</v>
      </c>
      <c r="R51" s="13">
        <f>12940.91+12337.03</f>
        <v>25277.940000000002</v>
      </c>
      <c r="S51" s="13">
        <v>12336.98</v>
      </c>
      <c r="T51" s="29">
        <f t="shared" si="3"/>
        <v>178217.78000000003</v>
      </c>
    </row>
    <row r="52" spans="1:20" ht="12.75">
      <c r="A52" s="13">
        <v>2.3</v>
      </c>
      <c r="B52" s="115" t="s">
        <v>110</v>
      </c>
      <c r="C52" s="115"/>
      <c r="D52" s="115"/>
      <c r="E52" s="115"/>
      <c r="F52" s="110">
        <v>120000</v>
      </c>
      <c r="G52" s="110"/>
      <c r="H52" s="13"/>
      <c r="I52" s="20">
        <f>5500+822</f>
        <v>6322</v>
      </c>
      <c r="J52" s="20">
        <f>4598+8046+1500</f>
        <v>14144</v>
      </c>
      <c r="K52" s="20">
        <f>2000+400+1003+1000</f>
        <v>4403</v>
      </c>
      <c r="L52" s="20">
        <v>135</v>
      </c>
      <c r="M52" s="20">
        <f>1500+3000</f>
        <v>4500</v>
      </c>
      <c r="N52" s="20">
        <f>4500.41+672+11000+1644+3000</f>
        <v>20816.41</v>
      </c>
      <c r="O52" s="20"/>
      <c r="P52" s="13">
        <v>12645</v>
      </c>
      <c r="Q52" s="20"/>
      <c r="R52" s="13">
        <v>14943</v>
      </c>
      <c r="S52" s="20">
        <f>9197+4002+598+16092-4</f>
        <v>29885</v>
      </c>
      <c r="T52" s="29">
        <f t="shared" si="3"/>
        <v>107793.41</v>
      </c>
    </row>
    <row r="53" spans="1:20" ht="12.75">
      <c r="A53" s="13">
        <v>2.4</v>
      </c>
      <c r="B53" s="115" t="s">
        <v>111</v>
      </c>
      <c r="C53" s="115"/>
      <c r="D53" s="115"/>
      <c r="E53" s="115"/>
      <c r="F53" s="117">
        <v>50000</v>
      </c>
      <c r="G53" s="117"/>
      <c r="H53" s="13"/>
      <c r="I53" s="13"/>
      <c r="J53" s="15">
        <f>135+120+1574+500+280+200+400+810+960+80+910</f>
        <v>5969</v>
      </c>
      <c r="K53" s="23">
        <f>430+210</f>
        <v>640</v>
      </c>
      <c r="L53" s="13">
        <f>150+490</f>
        <v>640</v>
      </c>
      <c r="M53" s="13">
        <f>70</f>
        <v>70</v>
      </c>
      <c r="N53" s="13">
        <f>4800+800+3236+100+85+1430+1478</f>
        <v>11929</v>
      </c>
      <c r="O53" s="13"/>
      <c r="P53" s="13">
        <f>7020+140+305+2320+2210+540+160+1300+300+4300+380+240+970</f>
        <v>20185</v>
      </c>
      <c r="Q53" s="13"/>
      <c r="R53" s="13"/>
      <c r="S53" s="13">
        <f>2300+779+200+498.08+580+91.2+290+2861+1100+3004+250+150</f>
        <v>12103.279999999999</v>
      </c>
      <c r="T53" s="29">
        <f t="shared" si="3"/>
        <v>51536.28</v>
      </c>
    </row>
    <row r="54" spans="1:20" ht="12.75">
      <c r="A54" s="13">
        <v>2.5</v>
      </c>
      <c r="B54" s="134" t="s">
        <v>112</v>
      </c>
      <c r="C54" s="134"/>
      <c r="D54" s="134"/>
      <c r="E54" s="134"/>
      <c r="F54" s="117">
        <v>73000</v>
      </c>
      <c r="G54" s="117"/>
      <c r="H54" s="13"/>
      <c r="I54" s="13">
        <f>2480.08+2480.08</f>
        <v>4960.16</v>
      </c>
      <c r="J54" s="15">
        <v>2480.08</v>
      </c>
      <c r="K54" s="23">
        <v>2480.08</v>
      </c>
      <c r="L54" s="13">
        <f>2480.08+7143.72</f>
        <v>9623.8</v>
      </c>
      <c r="M54" s="20">
        <f>2480.08+7143.72</f>
        <v>9623.8</v>
      </c>
      <c r="N54" s="13">
        <f>2480.08</f>
        <v>2480.08</v>
      </c>
      <c r="O54" s="20">
        <f>2480.08+7143.72</f>
        <v>9623.8</v>
      </c>
      <c r="P54" s="20">
        <f>2480.08</f>
        <v>2480.08</v>
      </c>
      <c r="Q54" s="13">
        <v>2480.08</v>
      </c>
      <c r="R54" s="13">
        <f>7143.72+2480.08</f>
        <v>9623.8</v>
      </c>
      <c r="S54" s="13">
        <f>2480.08</f>
        <v>2480.08</v>
      </c>
      <c r="T54" s="29">
        <f t="shared" si="3"/>
        <v>58335.84000000001</v>
      </c>
    </row>
    <row r="55" spans="1:20" ht="12.75">
      <c r="A55" s="13">
        <v>2.6</v>
      </c>
      <c r="B55" s="115" t="s">
        <v>38</v>
      </c>
      <c r="C55" s="115"/>
      <c r="D55" s="115"/>
      <c r="E55" s="115"/>
      <c r="F55" s="110">
        <v>300000</v>
      </c>
      <c r="G55" s="110"/>
      <c r="H55" s="13"/>
      <c r="I55" s="13">
        <f>23917.74</f>
        <v>23917.74</v>
      </c>
      <c r="J55" s="15">
        <f>23917.74</f>
        <v>23917.74</v>
      </c>
      <c r="K55" s="23">
        <v>23917.74</v>
      </c>
      <c r="L55" s="20">
        <f>20269.27</f>
        <v>20269.27</v>
      </c>
      <c r="M55" s="13">
        <f>20269.27</f>
        <v>20269.27</v>
      </c>
      <c r="N55" s="13">
        <f>20269.27</f>
        <v>20269.27</v>
      </c>
      <c r="O55" s="13">
        <v>20269.27</v>
      </c>
      <c r="P55" s="13">
        <v>20269.27</v>
      </c>
      <c r="Q55" s="13"/>
      <c r="R55" s="13">
        <f>40538.54</f>
        <v>40538.54</v>
      </c>
      <c r="S55" s="13">
        <f>20269.27+20269.27</f>
        <v>40538.54</v>
      </c>
      <c r="T55" s="29">
        <f t="shared" si="3"/>
        <v>254176.65</v>
      </c>
    </row>
    <row r="56" spans="1:20" ht="12.75">
      <c r="A56" s="13">
        <v>2.7</v>
      </c>
      <c r="B56" s="135" t="s">
        <v>141</v>
      </c>
      <c r="C56" s="136"/>
      <c r="D56" s="136"/>
      <c r="E56" s="137"/>
      <c r="F56" s="110">
        <v>12000</v>
      </c>
      <c r="G56" s="109"/>
      <c r="H56" s="20">
        <v>8000</v>
      </c>
      <c r="I56" s="20">
        <v>900</v>
      </c>
      <c r="J56" s="15">
        <f>96+320</f>
        <v>416</v>
      </c>
      <c r="K56" s="20"/>
      <c r="L56" s="13"/>
      <c r="M56" s="20"/>
      <c r="N56" s="20"/>
      <c r="O56" s="20">
        <v>900</v>
      </c>
      <c r="P56" s="20"/>
      <c r="Q56" s="20"/>
      <c r="R56" s="20"/>
      <c r="S56" s="20">
        <f>900</f>
        <v>900</v>
      </c>
      <c r="T56" s="29">
        <f t="shared" si="3"/>
        <v>11116</v>
      </c>
    </row>
    <row r="57" spans="1:20" ht="12.75">
      <c r="A57" s="13">
        <v>2.8</v>
      </c>
      <c r="B57" s="19" t="s">
        <v>113</v>
      </c>
      <c r="C57" s="19"/>
      <c r="D57" s="19"/>
      <c r="E57" s="19"/>
      <c r="F57" s="110">
        <v>33000</v>
      </c>
      <c r="G57" s="109"/>
      <c r="H57" s="13"/>
      <c r="I57" s="13">
        <f>2700</f>
        <v>2700</v>
      </c>
      <c r="J57" s="20">
        <v>2700</v>
      </c>
      <c r="K57" s="23">
        <v>2700</v>
      </c>
      <c r="L57" s="13">
        <v>2700</v>
      </c>
      <c r="M57" s="20">
        <f>2700</f>
        <v>2700</v>
      </c>
      <c r="N57" s="13">
        <f>2700+2700</f>
        <v>5400</v>
      </c>
      <c r="O57" s="13">
        <f>2700</f>
        <v>2700</v>
      </c>
      <c r="P57" s="20">
        <f>2700</f>
        <v>2700</v>
      </c>
      <c r="Q57" s="13"/>
      <c r="R57" s="13">
        <v>2700</v>
      </c>
      <c r="S57" s="20">
        <f>2700+2700</f>
        <v>5400</v>
      </c>
      <c r="T57" s="29">
        <f t="shared" si="3"/>
        <v>32400</v>
      </c>
    </row>
    <row r="58" spans="1:20" ht="12.75">
      <c r="A58" s="13">
        <v>2.9</v>
      </c>
      <c r="B58" s="135" t="s">
        <v>114</v>
      </c>
      <c r="C58" s="138"/>
      <c r="D58" s="138"/>
      <c r="E58" s="139"/>
      <c r="F58" s="119">
        <v>70000</v>
      </c>
      <c r="G58" s="139"/>
      <c r="H58" s="13"/>
      <c r="I58" s="13"/>
      <c r="J58" s="20">
        <f>4000</f>
        <v>4000</v>
      </c>
      <c r="K58" s="23">
        <f>3320</f>
        <v>3320</v>
      </c>
      <c r="L58" s="13"/>
      <c r="M58" s="20">
        <f>902.87+800+5500</f>
        <v>7202.87</v>
      </c>
      <c r="N58" s="13"/>
      <c r="O58" s="13"/>
      <c r="P58" s="20">
        <f>5000+747</f>
        <v>5747</v>
      </c>
      <c r="Q58" s="13"/>
      <c r="R58" s="13">
        <f>12644</f>
        <v>12644</v>
      </c>
      <c r="S58" s="20"/>
      <c r="T58" s="29">
        <f t="shared" si="3"/>
        <v>32913.869999999995</v>
      </c>
    </row>
    <row r="59" spans="1:20" ht="12.75">
      <c r="A59" s="41">
        <v>2.1</v>
      </c>
      <c r="B59" s="135" t="s">
        <v>163</v>
      </c>
      <c r="C59" s="138"/>
      <c r="D59" s="138"/>
      <c r="E59" s="139"/>
      <c r="F59" s="119">
        <v>35000</v>
      </c>
      <c r="G59" s="139"/>
      <c r="H59" s="13"/>
      <c r="I59" s="13"/>
      <c r="J59" s="20"/>
      <c r="K59" s="23">
        <f>34483</f>
        <v>34483</v>
      </c>
      <c r="L59" s="13"/>
      <c r="M59" s="20"/>
      <c r="N59" s="13"/>
      <c r="O59" s="13"/>
      <c r="P59" s="20"/>
      <c r="Q59" s="13"/>
      <c r="R59" s="13"/>
      <c r="S59" s="20"/>
      <c r="T59" s="29">
        <f t="shared" si="3"/>
        <v>34483</v>
      </c>
    </row>
    <row r="60" spans="1:20" ht="12.75">
      <c r="A60" s="13">
        <v>2.11</v>
      </c>
      <c r="B60" s="135" t="s">
        <v>92</v>
      </c>
      <c r="C60" s="138"/>
      <c r="D60" s="138"/>
      <c r="E60" s="139"/>
      <c r="F60" s="119">
        <v>55000</v>
      </c>
      <c r="G60" s="139"/>
      <c r="H60" s="13">
        <f>5000-25000</f>
        <v>-20000</v>
      </c>
      <c r="I60" s="13">
        <v>4000</v>
      </c>
      <c r="J60" s="20">
        <v>5000</v>
      </c>
      <c r="K60" s="23">
        <v>4000</v>
      </c>
      <c r="L60" s="13">
        <v>4000</v>
      </c>
      <c r="M60" s="20">
        <f>5000</f>
        <v>5000</v>
      </c>
      <c r="N60" s="13">
        <f>10000</f>
        <v>10000</v>
      </c>
      <c r="O60" s="13">
        <f>990.46</f>
        <v>990.46</v>
      </c>
      <c r="P60" s="20">
        <f>6188.02+8000</f>
        <v>14188.02</v>
      </c>
      <c r="Q60" s="13"/>
      <c r="R60" s="13">
        <v>5329.44</v>
      </c>
      <c r="S60" s="20">
        <f>6642.02+6000+890</f>
        <v>13532.02</v>
      </c>
      <c r="T60" s="29">
        <f t="shared" si="3"/>
        <v>46039.94</v>
      </c>
    </row>
    <row r="61" spans="1:20" ht="12.75">
      <c r="A61" s="13">
        <v>2.12</v>
      </c>
      <c r="B61" s="135" t="s">
        <v>164</v>
      </c>
      <c r="C61" s="138"/>
      <c r="D61" s="138"/>
      <c r="E61" s="139"/>
      <c r="F61" s="119">
        <v>55000</v>
      </c>
      <c r="G61" s="139"/>
      <c r="H61" s="13"/>
      <c r="I61" s="13"/>
      <c r="J61" s="20"/>
      <c r="K61" s="23"/>
      <c r="L61" s="13"/>
      <c r="M61" s="20"/>
      <c r="N61" s="13"/>
      <c r="O61" s="13">
        <v>49998.48</v>
      </c>
      <c r="P61" s="20"/>
      <c r="Q61" s="13"/>
      <c r="R61" s="13"/>
      <c r="S61" s="20"/>
      <c r="T61" s="29">
        <f t="shared" si="3"/>
        <v>49998.48</v>
      </c>
    </row>
    <row r="62" spans="1:20" ht="12.75">
      <c r="A62" s="13">
        <v>2.13</v>
      </c>
      <c r="B62" s="37" t="s">
        <v>142</v>
      </c>
      <c r="C62" s="38"/>
      <c r="D62" s="38"/>
      <c r="E62" s="39"/>
      <c r="F62" s="119">
        <v>42000</v>
      </c>
      <c r="G62" s="139"/>
      <c r="H62" s="13">
        <v>41419.2</v>
      </c>
      <c r="I62" s="13"/>
      <c r="J62" s="20"/>
      <c r="K62" s="23"/>
      <c r="L62" s="13"/>
      <c r="M62" s="20"/>
      <c r="N62" s="13"/>
      <c r="O62" s="13"/>
      <c r="P62" s="20"/>
      <c r="Q62" s="13"/>
      <c r="R62" s="13"/>
      <c r="S62" s="20"/>
      <c r="T62" s="29">
        <f t="shared" si="3"/>
        <v>41419.2</v>
      </c>
    </row>
    <row r="63" spans="1:20" ht="12.75">
      <c r="A63" s="13">
        <v>2.14</v>
      </c>
      <c r="B63" s="37" t="s">
        <v>138</v>
      </c>
      <c r="C63" s="38"/>
      <c r="D63" s="38"/>
      <c r="E63" s="39"/>
      <c r="F63" s="119">
        <v>55200</v>
      </c>
      <c r="G63" s="139"/>
      <c r="H63" s="13"/>
      <c r="I63" s="13"/>
      <c r="J63" s="20"/>
      <c r="K63" s="23">
        <v>13800</v>
      </c>
      <c r="L63" s="13"/>
      <c r="M63" s="20"/>
      <c r="N63" s="13">
        <f>13800</f>
        <v>13800</v>
      </c>
      <c r="O63" s="13"/>
      <c r="P63" s="20">
        <f>13800</f>
        <v>13800</v>
      </c>
      <c r="Q63" s="13"/>
      <c r="R63" s="13"/>
      <c r="S63" s="20">
        <v>13800</v>
      </c>
      <c r="T63" s="29">
        <f t="shared" si="3"/>
        <v>55200</v>
      </c>
    </row>
    <row r="64" spans="1:20" ht="12.75">
      <c r="A64" s="13">
        <v>2.15</v>
      </c>
      <c r="B64" s="37" t="s">
        <v>139</v>
      </c>
      <c r="C64" s="38"/>
      <c r="D64" s="38"/>
      <c r="E64" s="39"/>
      <c r="F64" s="119">
        <v>66000</v>
      </c>
      <c r="G64" s="139"/>
      <c r="H64" s="13">
        <v>11400</v>
      </c>
      <c r="I64" s="13"/>
      <c r="J64" s="20">
        <v>5700</v>
      </c>
      <c r="K64" s="23">
        <f>5700</f>
        <v>5700</v>
      </c>
      <c r="L64" s="13">
        <v>5700</v>
      </c>
      <c r="M64" s="20">
        <v>5700</v>
      </c>
      <c r="N64" s="13">
        <f>5700+5700</f>
        <v>11400</v>
      </c>
      <c r="O64" s="13"/>
      <c r="P64" s="20">
        <v>5700</v>
      </c>
      <c r="Q64" s="13">
        <v>5700</v>
      </c>
      <c r="R64" s="13">
        <v>5700</v>
      </c>
      <c r="S64" s="20">
        <v>5700</v>
      </c>
      <c r="T64" s="29">
        <f t="shared" si="3"/>
        <v>68400</v>
      </c>
    </row>
    <row r="65" spans="1:20" ht="12.75" hidden="1">
      <c r="A65" s="13">
        <v>2.16</v>
      </c>
      <c r="B65" s="135" t="s">
        <v>161</v>
      </c>
      <c r="C65" s="138"/>
      <c r="D65" s="138"/>
      <c r="E65" s="139"/>
      <c r="F65" s="35"/>
      <c r="G65" s="36"/>
      <c r="H65" s="13"/>
      <c r="I65" s="13"/>
      <c r="J65" s="20"/>
      <c r="K65" s="23"/>
      <c r="L65" s="13"/>
      <c r="M65" s="20"/>
      <c r="N65" s="13"/>
      <c r="O65" s="13"/>
      <c r="P65" s="20"/>
      <c r="Q65" s="13"/>
      <c r="R65" s="13"/>
      <c r="S65" s="20"/>
      <c r="T65" s="29"/>
    </row>
    <row r="66" spans="1:20" ht="12.75">
      <c r="A66" s="74"/>
      <c r="B66" s="140" t="s">
        <v>6</v>
      </c>
      <c r="C66" s="141"/>
      <c r="D66" s="141"/>
      <c r="E66" s="142"/>
      <c r="F66" s="131">
        <f>SUM(F50:F64)</f>
        <v>1760200</v>
      </c>
      <c r="G66" s="132"/>
      <c r="H66" s="74">
        <f aca="true" t="shared" si="4" ref="H66:M66">SUM(H50:H64)</f>
        <v>76359.2</v>
      </c>
      <c r="I66" s="74">
        <f t="shared" si="4"/>
        <v>97406.92000000001</v>
      </c>
      <c r="J66" s="74">
        <f t="shared" si="4"/>
        <v>152145.38</v>
      </c>
      <c r="K66" s="74">
        <f t="shared" si="4"/>
        <v>126501.82</v>
      </c>
      <c r="L66" s="74">
        <f t="shared" si="4"/>
        <v>91690.01000000001</v>
      </c>
      <c r="M66" s="74">
        <f t="shared" si="4"/>
        <v>112444</v>
      </c>
      <c r="N66" s="74">
        <f aca="true" t="shared" si="5" ref="N66:S66">SUM(N50:N64)</f>
        <v>163152.32</v>
      </c>
      <c r="O66" s="74">
        <f t="shared" si="5"/>
        <v>137159.01</v>
      </c>
      <c r="P66" s="74">
        <f t="shared" si="5"/>
        <v>164847.18</v>
      </c>
      <c r="Q66" s="74">
        <f>SUM(Q50:Q65)</f>
        <v>143556.91999999998</v>
      </c>
      <c r="R66" s="74">
        <f t="shared" si="5"/>
        <v>167973.72</v>
      </c>
      <c r="S66" s="74">
        <f t="shared" si="5"/>
        <v>182320.9</v>
      </c>
      <c r="T66" s="76">
        <f>SUM(T50:T65)</f>
        <v>1615557.3799999997</v>
      </c>
    </row>
    <row r="67" spans="1:20" s="97" customFormat="1" ht="12.75">
      <c r="A67" s="90"/>
      <c r="B67" s="91"/>
      <c r="C67" s="92"/>
      <c r="D67" s="92"/>
      <c r="E67" s="93" t="s">
        <v>95</v>
      </c>
      <c r="F67" s="143">
        <f>F46+F66</f>
        <v>2673200</v>
      </c>
      <c r="G67" s="14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5"/>
      <c r="T67" s="96">
        <f>T46+T66</f>
        <v>2523321.6499999994</v>
      </c>
    </row>
    <row r="68" spans="1:20" ht="12.75">
      <c r="A68" s="43" t="s">
        <v>108</v>
      </c>
      <c r="B68" s="37"/>
      <c r="C68" s="38"/>
      <c r="D68" s="38"/>
      <c r="E68" s="39"/>
      <c r="F68" s="35"/>
      <c r="G68" s="36"/>
      <c r="H68" s="13"/>
      <c r="I68" s="13"/>
      <c r="J68" s="20"/>
      <c r="K68" s="23"/>
      <c r="L68" s="13"/>
      <c r="M68" s="20"/>
      <c r="N68" s="13"/>
      <c r="O68" s="13"/>
      <c r="P68" s="20"/>
      <c r="Q68" s="13"/>
      <c r="R68" s="13"/>
      <c r="S68" s="20"/>
      <c r="T68" s="29"/>
    </row>
    <row r="69" spans="1:20" ht="12.75">
      <c r="A69" s="13"/>
      <c r="B69" s="19" t="s">
        <v>93</v>
      </c>
      <c r="C69" s="19"/>
      <c r="D69" s="19"/>
      <c r="E69" s="19"/>
      <c r="F69" s="110">
        <v>100000</v>
      </c>
      <c r="G69" s="109"/>
      <c r="H69" s="13"/>
      <c r="I69" s="13"/>
      <c r="J69" s="15">
        <v>72802</v>
      </c>
      <c r="K69" s="23">
        <f>25000</f>
        <v>25000</v>
      </c>
      <c r="L69" s="13"/>
      <c r="M69" s="13"/>
      <c r="N69" s="13">
        <f>50000</f>
        <v>50000</v>
      </c>
      <c r="O69" s="13"/>
      <c r="P69" s="13"/>
      <c r="Q69" s="13">
        <f>30000</f>
        <v>30000</v>
      </c>
      <c r="R69" s="13"/>
      <c r="S69" s="13"/>
      <c r="T69" s="29">
        <f aca="true" t="shared" si="6" ref="T69:T75">H69+I69+J69+K69+L69+M69+N69+O69+P69+Q69+R69+S69</f>
        <v>177802</v>
      </c>
    </row>
    <row r="70" spans="1:20" ht="12.75">
      <c r="A70" s="13"/>
      <c r="B70" s="135" t="s">
        <v>166</v>
      </c>
      <c r="C70" s="136"/>
      <c r="D70" s="136"/>
      <c r="E70" s="137"/>
      <c r="F70" s="110">
        <v>25000</v>
      </c>
      <c r="G70" s="109"/>
      <c r="H70" s="20">
        <v>25000</v>
      </c>
      <c r="I70" s="13"/>
      <c r="J70" s="20"/>
      <c r="K70" s="20"/>
      <c r="L70" s="13"/>
      <c r="M70" s="20"/>
      <c r="N70" s="20"/>
      <c r="O70" s="20"/>
      <c r="P70" s="20"/>
      <c r="Q70" s="20"/>
      <c r="R70" s="20"/>
      <c r="S70" s="20">
        <v>-890</v>
      </c>
      <c r="T70" s="29">
        <f t="shared" si="6"/>
        <v>24110</v>
      </c>
    </row>
    <row r="71" spans="1:20" ht="12.75">
      <c r="A71" s="13"/>
      <c r="B71" s="135" t="s">
        <v>167</v>
      </c>
      <c r="C71" s="138"/>
      <c r="D71" s="138"/>
      <c r="E71" s="139"/>
      <c r="F71" s="110">
        <v>70000</v>
      </c>
      <c r="G71" s="109"/>
      <c r="H71" s="13"/>
      <c r="I71" s="13"/>
      <c r="J71" s="15"/>
      <c r="K71" s="23"/>
      <c r="L71" s="13"/>
      <c r="M71" s="13"/>
      <c r="N71" s="13">
        <f>100000</f>
        <v>100000</v>
      </c>
      <c r="O71" s="20">
        <f>147256+241316</f>
        <v>388572</v>
      </c>
      <c r="P71" s="13"/>
      <c r="Q71" s="13"/>
      <c r="R71" s="20"/>
      <c r="S71" s="13"/>
      <c r="T71" s="29">
        <f t="shared" si="6"/>
        <v>488572</v>
      </c>
    </row>
    <row r="72" spans="1:20" ht="12.75">
      <c r="A72" s="13"/>
      <c r="B72" s="19" t="s">
        <v>115</v>
      </c>
      <c r="C72" s="19"/>
      <c r="D72" s="19"/>
      <c r="E72" s="19"/>
      <c r="F72" s="110">
        <v>24000</v>
      </c>
      <c r="G72" s="109"/>
      <c r="H72" s="20"/>
      <c r="I72" s="20"/>
      <c r="J72" s="20">
        <v>5700</v>
      </c>
      <c r="K72" s="20"/>
      <c r="L72" s="20"/>
      <c r="M72" s="20">
        <v>5700</v>
      </c>
      <c r="N72" s="20"/>
      <c r="O72" s="20"/>
      <c r="P72" s="13">
        <f>5700</f>
        <v>5700</v>
      </c>
      <c r="Q72" s="20"/>
      <c r="R72" s="20"/>
      <c r="S72" s="20">
        <v>5700</v>
      </c>
      <c r="T72" s="29">
        <f t="shared" si="6"/>
        <v>22800</v>
      </c>
    </row>
    <row r="73" spans="1:20" ht="12.75">
      <c r="A73" s="13"/>
      <c r="B73" s="135" t="s">
        <v>165</v>
      </c>
      <c r="C73" s="138"/>
      <c r="D73" s="138"/>
      <c r="E73" s="139"/>
      <c r="F73" s="119">
        <v>90000</v>
      </c>
      <c r="G73" s="139"/>
      <c r="H73" s="20"/>
      <c r="I73" s="20"/>
      <c r="J73" s="20">
        <f>22420+22420+3300</f>
        <v>48140</v>
      </c>
      <c r="K73" s="20"/>
      <c r="L73" s="20">
        <f>44840</f>
        <v>44840</v>
      </c>
      <c r="M73" s="20"/>
      <c r="N73" s="20"/>
      <c r="O73" s="20"/>
      <c r="P73" s="13"/>
      <c r="Q73" s="20"/>
      <c r="R73" s="20"/>
      <c r="S73" s="20"/>
      <c r="T73" s="29">
        <f t="shared" si="6"/>
        <v>92980</v>
      </c>
    </row>
    <row r="74" spans="1:20" ht="12.75">
      <c r="A74" s="13"/>
      <c r="B74" s="37" t="s">
        <v>94</v>
      </c>
      <c r="C74" s="38"/>
      <c r="D74" s="38"/>
      <c r="E74" s="39"/>
      <c r="F74" s="119">
        <v>240000</v>
      </c>
      <c r="G74" s="139"/>
      <c r="H74" s="20"/>
      <c r="I74" s="20">
        <f>20000</f>
        <v>20000</v>
      </c>
      <c r="J74" s="20">
        <f>20000+20000</f>
        <v>40000</v>
      </c>
      <c r="K74" s="20"/>
      <c r="L74" s="20">
        <f>20000</f>
        <v>20000</v>
      </c>
      <c r="M74" s="20">
        <f>20000</f>
        <v>20000</v>
      </c>
      <c r="N74" s="20">
        <f>20000</f>
        <v>20000</v>
      </c>
      <c r="O74" s="20"/>
      <c r="P74" s="13"/>
      <c r="Q74" s="20"/>
      <c r="R74" s="20">
        <f>12500+25000</f>
        <v>37500</v>
      </c>
      <c r="S74" s="20">
        <v>25000</v>
      </c>
      <c r="T74" s="29">
        <f t="shared" si="6"/>
        <v>182500</v>
      </c>
    </row>
    <row r="75" spans="1:20" ht="12.75">
      <c r="A75" s="13" t="s">
        <v>73</v>
      </c>
      <c r="B75" s="37" t="s">
        <v>144</v>
      </c>
      <c r="C75" s="38"/>
      <c r="D75" s="38"/>
      <c r="E75" s="39"/>
      <c r="F75" s="119">
        <v>150000</v>
      </c>
      <c r="G75" s="139"/>
      <c r="H75" s="20"/>
      <c r="I75" s="20"/>
      <c r="J75" s="20"/>
      <c r="K75" s="20"/>
      <c r="L75" s="20"/>
      <c r="M75" s="20"/>
      <c r="N75" s="20"/>
      <c r="O75" s="20"/>
      <c r="P75" s="13"/>
      <c r="Q75" s="20"/>
      <c r="R75" s="20"/>
      <c r="S75" s="20"/>
      <c r="T75" s="29">
        <f t="shared" si="6"/>
        <v>0</v>
      </c>
    </row>
    <row r="76" spans="1:20" ht="12.75" hidden="1">
      <c r="A76" s="13"/>
      <c r="B76" s="135" t="s">
        <v>143</v>
      </c>
      <c r="C76" s="136"/>
      <c r="D76" s="136"/>
      <c r="E76" s="137"/>
      <c r="F76" s="119"/>
      <c r="G76" s="139"/>
      <c r="H76" s="20"/>
      <c r="I76" s="20"/>
      <c r="J76" s="20"/>
      <c r="K76" s="20"/>
      <c r="L76" s="20"/>
      <c r="M76" s="20"/>
      <c r="N76" s="20"/>
      <c r="O76" s="20"/>
      <c r="P76" s="13"/>
      <c r="Q76" s="20"/>
      <c r="R76" s="20"/>
      <c r="S76" s="20"/>
      <c r="T76" s="29"/>
    </row>
    <row r="77" spans="1:20" ht="12.75">
      <c r="A77" s="13"/>
      <c r="B77" s="145" t="s">
        <v>192</v>
      </c>
      <c r="C77" s="146"/>
      <c r="D77" s="146"/>
      <c r="E77" s="147"/>
      <c r="F77" s="119">
        <v>55880</v>
      </c>
      <c r="G77" s="139"/>
      <c r="H77" s="20">
        <v>15500</v>
      </c>
      <c r="I77" s="20">
        <v>14190</v>
      </c>
      <c r="J77" s="20">
        <v>24090</v>
      </c>
      <c r="K77" s="20">
        <v>1700</v>
      </c>
      <c r="L77" s="20">
        <v>0</v>
      </c>
      <c r="M77" s="20"/>
      <c r="N77" s="20"/>
      <c r="O77" s="20"/>
      <c r="P77" s="13">
        <f>5000</f>
        <v>5000</v>
      </c>
      <c r="Q77" s="20"/>
      <c r="R77" s="20"/>
      <c r="S77" s="20">
        <v>10000</v>
      </c>
      <c r="T77" s="29">
        <v>47300</v>
      </c>
    </row>
    <row r="78" spans="1:20" ht="12.75">
      <c r="A78" s="13"/>
      <c r="B78" s="135" t="s">
        <v>169</v>
      </c>
      <c r="C78" s="136"/>
      <c r="D78" s="136"/>
      <c r="E78" s="137"/>
      <c r="F78" s="119">
        <v>31100</v>
      </c>
      <c r="G78" s="139"/>
      <c r="H78" s="20"/>
      <c r="I78" s="20"/>
      <c r="J78" s="20"/>
      <c r="K78" s="20"/>
      <c r="L78" s="20">
        <v>31100</v>
      </c>
      <c r="M78" s="20"/>
      <c r="N78" s="20"/>
      <c r="O78" s="20"/>
      <c r="P78" s="13"/>
      <c r="Q78" s="20"/>
      <c r="R78" s="20"/>
      <c r="S78" s="20"/>
      <c r="T78" s="29">
        <f>H78+I78+J78+K78+L78+M78+N78+O78+P78+Q78+R78+S78</f>
        <v>31100</v>
      </c>
    </row>
    <row r="79" spans="1:20" ht="12.75">
      <c r="A79" s="78"/>
      <c r="B79" s="148" t="s">
        <v>6</v>
      </c>
      <c r="C79" s="148"/>
      <c r="D79" s="148"/>
      <c r="E79" s="148"/>
      <c r="F79" s="149">
        <f>SUM(F69:F78)</f>
        <v>785980</v>
      </c>
      <c r="G79" s="148"/>
      <c r="H79" s="75">
        <f aca="true" t="shared" si="7" ref="H79:T79">SUM(H69:H78)</f>
        <v>40500</v>
      </c>
      <c r="I79" s="75">
        <f t="shared" si="7"/>
        <v>34190</v>
      </c>
      <c r="J79" s="75">
        <f t="shared" si="7"/>
        <v>190732</v>
      </c>
      <c r="K79" s="75">
        <f t="shared" si="7"/>
        <v>26700</v>
      </c>
      <c r="L79" s="75">
        <f t="shared" si="7"/>
        <v>95940</v>
      </c>
      <c r="M79" s="75">
        <f t="shared" si="7"/>
        <v>25700</v>
      </c>
      <c r="N79" s="75">
        <f t="shared" si="7"/>
        <v>170000</v>
      </c>
      <c r="O79" s="75">
        <f t="shared" si="7"/>
        <v>388572</v>
      </c>
      <c r="P79" s="75">
        <f t="shared" si="7"/>
        <v>10700</v>
      </c>
      <c r="Q79" s="75">
        <f t="shared" si="7"/>
        <v>30000</v>
      </c>
      <c r="R79" s="75">
        <f t="shared" si="7"/>
        <v>37500</v>
      </c>
      <c r="S79" s="75">
        <f t="shared" si="7"/>
        <v>39810</v>
      </c>
      <c r="T79" s="75">
        <f t="shared" si="7"/>
        <v>1067164</v>
      </c>
    </row>
    <row r="80" spans="1:20" ht="12.75">
      <c r="A80" s="13"/>
      <c r="B80" s="13"/>
      <c r="C80" s="13"/>
      <c r="D80" s="13"/>
      <c r="E80" s="13"/>
      <c r="F80" s="14"/>
      <c r="G80" s="14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29"/>
    </row>
    <row r="81" spans="1:20" ht="12.75">
      <c r="A81" s="13"/>
      <c r="B81" s="13"/>
      <c r="C81" s="13"/>
      <c r="D81" s="13"/>
      <c r="E81" s="13"/>
      <c r="F81" s="14"/>
      <c r="G81" s="14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29"/>
    </row>
    <row r="82" spans="1:20" ht="12.75">
      <c r="A82" s="13"/>
      <c r="B82" s="13"/>
      <c r="C82" s="13"/>
      <c r="D82" s="13"/>
      <c r="E82" s="13"/>
      <c r="F82" s="14"/>
      <c r="G82" s="14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29" t="s">
        <v>73</v>
      </c>
    </row>
    <row r="83" spans="1:20" ht="12.75">
      <c r="A83" s="79"/>
      <c r="B83" s="51" t="s">
        <v>95</v>
      </c>
      <c r="C83" s="50"/>
      <c r="D83" s="50"/>
      <c r="E83" s="50"/>
      <c r="F83" s="150">
        <f>F66+F79+F46</f>
        <v>3459180</v>
      </c>
      <c r="G83" s="151"/>
      <c r="H83" s="79">
        <f aca="true" t="shared" si="8" ref="H83:S83">H46+H66+H79</f>
        <v>174387.53</v>
      </c>
      <c r="I83" s="79">
        <f t="shared" si="8"/>
        <v>198400.76</v>
      </c>
      <c r="J83" s="79">
        <f t="shared" si="8"/>
        <v>460479.6</v>
      </c>
      <c r="K83" s="79">
        <f t="shared" si="8"/>
        <v>215202.37</v>
      </c>
      <c r="L83" s="79">
        <f t="shared" si="8"/>
        <v>262507.25</v>
      </c>
      <c r="M83" s="79">
        <f t="shared" si="8"/>
        <v>216889.01</v>
      </c>
      <c r="N83" s="79">
        <f t="shared" si="8"/>
        <v>430940.01</v>
      </c>
      <c r="O83" s="79">
        <f t="shared" si="8"/>
        <v>603640.5900000001</v>
      </c>
      <c r="P83" s="79">
        <f t="shared" si="8"/>
        <v>249177.62</v>
      </c>
      <c r="Q83" s="79">
        <f t="shared" si="8"/>
        <v>145120.64999999997</v>
      </c>
      <c r="R83" s="79">
        <f t="shared" si="8"/>
        <v>312504.98</v>
      </c>
      <c r="S83" s="79">
        <f t="shared" si="8"/>
        <v>344415.27999999997</v>
      </c>
      <c r="T83" s="80">
        <f>T66+T79+T46</f>
        <v>3590485.65</v>
      </c>
    </row>
    <row r="84" spans="1:20" ht="12.75">
      <c r="A84" s="13"/>
      <c r="B84" s="13"/>
      <c r="C84" s="13"/>
      <c r="D84" s="13"/>
      <c r="E84" s="13"/>
      <c r="F84" s="14"/>
      <c r="G84" s="14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29" t="s">
        <v>73</v>
      </c>
    </row>
    <row r="85" spans="1:20" ht="12.75">
      <c r="A85" s="13"/>
      <c r="B85" s="13"/>
      <c r="C85" s="13"/>
      <c r="D85" s="13"/>
      <c r="E85" s="13"/>
      <c r="F85" s="14"/>
      <c r="G85" s="14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29" t="s">
        <v>73</v>
      </c>
    </row>
    <row r="86" spans="1:20" ht="12.75">
      <c r="A86" s="13"/>
      <c r="B86" s="13" t="s">
        <v>46</v>
      </c>
      <c r="C86" s="13"/>
      <c r="D86" s="13"/>
      <c r="E86" s="13"/>
      <c r="F86" s="152" t="s">
        <v>41</v>
      </c>
      <c r="G86" s="15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29" t="s">
        <v>73</v>
      </c>
    </row>
    <row r="87" spans="1:20" ht="12.75">
      <c r="A87" s="13"/>
      <c r="B87" s="13"/>
      <c r="C87" s="13"/>
      <c r="D87" s="13"/>
      <c r="E87" s="13"/>
      <c r="F87" s="152" t="s">
        <v>47</v>
      </c>
      <c r="G87" s="15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29" t="s">
        <v>73</v>
      </c>
    </row>
    <row r="88" spans="1:20" ht="12.75">
      <c r="A88" s="26"/>
      <c r="B88" s="26"/>
      <c r="C88" s="26"/>
      <c r="D88" s="26"/>
      <c r="E88" s="26"/>
      <c r="F88" s="26"/>
      <c r="G88" s="26"/>
      <c r="H88" s="26">
        <f aca="true" t="shared" si="9" ref="H88:R88">H27-H79</f>
        <v>137736.68</v>
      </c>
      <c r="I88" s="26">
        <f t="shared" si="9"/>
        <v>105911.13</v>
      </c>
      <c r="J88" s="26">
        <f t="shared" si="9"/>
        <v>-8071.359999999986</v>
      </c>
      <c r="K88" s="26">
        <f t="shared" si="9"/>
        <v>97565.49</v>
      </c>
      <c r="L88" s="26">
        <f t="shared" si="9"/>
        <v>78907.9</v>
      </c>
      <c r="M88" s="26">
        <f t="shared" si="9"/>
        <v>114130.87</v>
      </c>
      <c r="N88" s="26">
        <f t="shared" si="9"/>
        <v>-40491.259999999995</v>
      </c>
      <c r="O88" s="26">
        <f t="shared" si="9"/>
        <v>-324164.77</v>
      </c>
      <c r="P88" s="26">
        <f t="shared" si="9"/>
        <v>116240.4</v>
      </c>
      <c r="Q88" s="26">
        <f t="shared" si="9"/>
        <v>46678.490000000005</v>
      </c>
      <c r="R88" s="26">
        <f t="shared" si="9"/>
        <v>140592.48</v>
      </c>
      <c r="S88" s="26"/>
      <c r="T88" s="29" t="s">
        <v>73</v>
      </c>
    </row>
    <row r="89" spans="2:20" ht="12.75">
      <c r="B89" t="s">
        <v>42</v>
      </c>
      <c r="E89" t="s">
        <v>43</v>
      </c>
      <c r="F89" s="6" t="s">
        <v>44</v>
      </c>
      <c r="T89" s="29" t="s">
        <v>73</v>
      </c>
    </row>
    <row r="90" ht="12.75" hidden="1">
      <c r="T90" s="29"/>
    </row>
    <row r="91" spans="2:20" ht="12.75" hidden="1">
      <c r="B91" t="s">
        <v>69</v>
      </c>
      <c r="T91" s="29">
        <f>H91+I91+J91+K91+L91+M91+N91+O91+P91+Q91+R91+S91</f>
        <v>0</v>
      </c>
    </row>
    <row r="92" spans="2:20" ht="12.75" hidden="1">
      <c r="B92" t="s">
        <v>78</v>
      </c>
      <c r="T92" s="29">
        <f aca="true" t="shared" si="10" ref="T92:T99">H92+I92+J92+K92+L92+M92+N92+O92+P92+Q92+R92+S92</f>
        <v>0</v>
      </c>
    </row>
    <row r="93" spans="2:20" ht="12.75" hidden="1">
      <c r="B93" t="s">
        <v>98</v>
      </c>
      <c r="K93">
        <v>30000</v>
      </c>
      <c r="T93" s="29">
        <f t="shared" si="10"/>
        <v>30000</v>
      </c>
    </row>
    <row r="94" spans="2:20" ht="12.75" hidden="1">
      <c r="B94" t="s">
        <v>186</v>
      </c>
      <c r="H94" s="1"/>
      <c r="I94" s="1"/>
      <c r="K94">
        <v>700</v>
      </c>
      <c r="L94" s="1"/>
      <c r="N94" s="1">
        <v>1600</v>
      </c>
      <c r="Q94" s="1"/>
      <c r="T94" s="29">
        <f t="shared" si="10"/>
        <v>2300</v>
      </c>
    </row>
    <row r="95" spans="2:20" ht="12.75" hidden="1">
      <c r="B95" t="s">
        <v>61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9">
        <f t="shared" si="10"/>
        <v>0</v>
      </c>
    </row>
    <row r="96" spans="2:20" ht="12.75" hidden="1">
      <c r="B96" t="s">
        <v>62</v>
      </c>
      <c r="H96" s="1"/>
      <c r="I96" s="1"/>
      <c r="J96" s="1"/>
      <c r="K96" s="1"/>
      <c r="L96" s="40"/>
      <c r="M96" s="1"/>
      <c r="N96" s="1"/>
      <c r="O96" s="1"/>
      <c r="P96" s="1"/>
      <c r="Q96" s="1"/>
      <c r="R96" s="40"/>
      <c r="S96" s="40"/>
      <c r="T96" s="29">
        <f t="shared" si="10"/>
        <v>0</v>
      </c>
    </row>
    <row r="97" spans="2:20" ht="12.75" hidden="1">
      <c r="B97" t="s">
        <v>63</v>
      </c>
      <c r="H97">
        <v>13847.76</v>
      </c>
      <c r="I97" s="1">
        <v>14401.8</v>
      </c>
      <c r="J97" s="1">
        <v>14720.4</v>
      </c>
      <c r="K97" s="1">
        <v>12570.12</v>
      </c>
      <c r="L97" s="1">
        <f>13451.4</f>
        <v>13451.4</v>
      </c>
      <c r="M97" s="1">
        <f>14519.52</f>
        <v>14519.52</v>
      </c>
      <c r="N97" s="1">
        <f>14519.52+14810</f>
        <v>29329.52</v>
      </c>
      <c r="O97" s="1"/>
      <c r="P97" s="1">
        <f>15823.84+15000</f>
        <v>30823.84</v>
      </c>
      <c r="Q97" s="1"/>
      <c r="R97" s="1">
        <v>14264.18</v>
      </c>
      <c r="S97" s="1">
        <v>15741.2</v>
      </c>
      <c r="T97" s="29">
        <f t="shared" si="10"/>
        <v>173669.74000000002</v>
      </c>
    </row>
    <row r="98" spans="2:20" ht="12.75" hidden="1">
      <c r="B98" t="s">
        <v>64</v>
      </c>
      <c r="M98">
        <f>2712.59</f>
        <v>2712.59</v>
      </c>
      <c r="Q98">
        <f>1.04+4.48</f>
        <v>5.5200000000000005</v>
      </c>
      <c r="R98" s="1"/>
      <c r="T98" s="29">
        <f t="shared" si="10"/>
        <v>2718.11</v>
      </c>
    </row>
    <row r="99" spans="2:20" ht="12.75" hidden="1">
      <c r="B99" t="s">
        <v>65</v>
      </c>
      <c r="H99" s="1"/>
      <c r="J99" s="1"/>
      <c r="M99" s="1"/>
      <c r="N99" s="1"/>
      <c r="Q99" s="1"/>
      <c r="S99" s="1"/>
      <c r="T99" s="29">
        <f t="shared" si="10"/>
        <v>0</v>
      </c>
    </row>
    <row r="100" spans="2:20" ht="12.75" hidden="1">
      <c r="B100" t="s">
        <v>97</v>
      </c>
      <c r="K100" s="1"/>
      <c r="T100" s="29">
        <f aca="true" t="shared" si="11" ref="T100:T118">H100+I100+J100+K100+L100+M100+N100+O100+P100+Q100+R100+S100</f>
        <v>0</v>
      </c>
    </row>
    <row r="101" spans="2:20" ht="12.75" hidden="1">
      <c r="B101" t="s">
        <v>68</v>
      </c>
      <c r="M101" s="1"/>
      <c r="T101" s="29">
        <f t="shared" si="11"/>
        <v>0</v>
      </c>
    </row>
    <row r="102" spans="2:20" ht="12.75" hidden="1">
      <c r="B102" t="s">
        <v>187</v>
      </c>
      <c r="H102" s="7"/>
      <c r="I102" s="7"/>
      <c r="J102" s="7">
        <v>23890</v>
      </c>
      <c r="K102" s="7"/>
      <c r="R102" s="1"/>
      <c r="S102" s="1"/>
      <c r="T102" s="29">
        <f t="shared" si="11"/>
        <v>23890</v>
      </c>
    </row>
    <row r="103" spans="2:20" ht="12.75" hidden="1">
      <c r="B103" t="s">
        <v>183</v>
      </c>
      <c r="H103" s="84">
        <v>500</v>
      </c>
      <c r="J103">
        <v>200</v>
      </c>
      <c r="K103">
        <v>1700</v>
      </c>
      <c r="T103" s="29">
        <f t="shared" si="11"/>
        <v>2400</v>
      </c>
    </row>
    <row r="104" spans="1:20" ht="12.75" hidden="1">
      <c r="A104" s="1"/>
      <c r="B104" s="1" t="s">
        <v>121</v>
      </c>
      <c r="C104" s="1"/>
      <c r="D104" s="1"/>
      <c r="E104" s="1"/>
      <c r="F104" s="46"/>
      <c r="G104" s="46"/>
      <c r="H104" s="46">
        <v>15000</v>
      </c>
      <c r="I104" s="47">
        <v>14190</v>
      </c>
      <c r="J104" s="46"/>
      <c r="K104" s="47"/>
      <c r="L104" s="47"/>
      <c r="M104" s="47"/>
      <c r="N104" s="47"/>
      <c r="O104" s="47"/>
      <c r="P104" s="47"/>
      <c r="Q104" s="47"/>
      <c r="R104" s="47"/>
      <c r="S104" s="47"/>
      <c r="T104" s="29">
        <f t="shared" si="11"/>
        <v>29190</v>
      </c>
    </row>
    <row r="105" spans="2:20" ht="12.75" hidden="1">
      <c r="B105" s="12" t="s">
        <v>75</v>
      </c>
      <c r="H105">
        <v>471014.74</v>
      </c>
      <c r="I105">
        <v>610476.7</v>
      </c>
      <c r="J105">
        <v>535993.64</v>
      </c>
      <c r="K105">
        <v>450721.7</v>
      </c>
      <c r="L105">
        <v>427373.16</v>
      </c>
      <c r="M105">
        <f>237512.01</f>
        <v>237512.01</v>
      </c>
      <c r="N105">
        <f>129169.28+110000</f>
        <v>239169.28</v>
      </c>
      <c r="P105">
        <f>80508.41+125000+135000</f>
        <v>340508.41000000003</v>
      </c>
      <c r="Q105">
        <f>10759.85</f>
        <v>10759.85</v>
      </c>
      <c r="R105">
        <v>326070.03</v>
      </c>
      <c r="S105">
        <f>454659.45+450000</f>
        <v>904659.45</v>
      </c>
      <c r="T105" s="29">
        <f t="shared" si="11"/>
        <v>4554258.970000001</v>
      </c>
    </row>
    <row r="106" spans="2:20" ht="12.75" hidden="1">
      <c r="B106" s="12" t="s">
        <v>76</v>
      </c>
      <c r="H106">
        <v>72795.2</v>
      </c>
      <c r="I106">
        <v>82250.9</v>
      </c>
      <c r="J106">
        <v>70053.56</v>
      </c>
      <c r="K106">
        <v>74311.33</v>
      </c>
      <c r="L106">
        <f>72371.09</f>
        <v>72371.09</v>
      </c>
      <c r="M106">
        <f>74936.61</f>
        <v>74936.61</v>
      </c>
      <c r="N106">
        <f>78552.91+70000</f>
        <v>148552.91</v>
      </c>
      <c r="P106">
        <f>58083.5+73000</f>
        <v>131083.5</v>
      </c>
      <c r="R106">
        <v>71740.23</v>
      </c>
      <c r="S106">
        <f>75015.77+80000</f>
        <v>155015.77000000002</v>
      </c>
      <c r="T106" s="29">
        <f t="shared" si="11"/>
        <v>953111.1</v>
      </c>
    </row>
    <row r="107" spans="2:20" ht="12.75" hidden="1">
      <c r="B107" t="s">
        <v>182</v>
      </c>
      <c r="H107">
        <v>1907</v>
      </c>
      <c r="T107" s="29">
        <f t="shared" si="11"/>
        <v>1907</v>
      </c>
    </row>
    <row r="108" spans="2:20" ht="12.75" hidden="1">
      <c r="B108" t="s">
        <v>78</v>
      </c>
      <c r="T108" s="29">
        <f t="shared" si="11"/>
        <v>0</v>
      </c>
    </row>
    <row r="109" spans="2:20" ht="12.75" hidden="1">
      <c r="B109" t="s">
        <v>79</v>
      </c>
      <c r="T109" s="29">
        <f t="shared" si="11"/>
        <v>0</v>
      </c>
    </row>
    <row r="110" spans="2:20" ht="12.75" hidden="1">
      <c r="B110" t="s">
        <v>65</v>
      </c>
      <c r="T110" s="29">
        <f t="shared" si="11"/>
        <v>0</v>
      </c>
    </row>
    <row r="111" spans="2:20" ht="12.75" hidden="1">
      <c r="B111" t="s">
        <v>80</v>
      </c>
      <c r="T111" s="29">
        <f t="shared" si="11"/>
        <v>0</v>
      </c>
    </row>
    <row r="112" spans="2:20" ht="12.75" hidden="1">
      <c r="B112" t="s">
        <v>81</v>
      </c>
      <c r="T112" s="29">
        <f t="shared" si="11"/>
        <v>0</v>
      </c>
    </row>
    <row r="113" spans="2:20" ht="12.75" hidden="1">
      <c r="B113" t="s">
        <v>82</v>
      </c>
      <c r="J113" s="2"/>
      <c r="T113" s="29">
        <f t="shared" si="11"/>
        <v>0</v>
      </c>
    </row>
    <row r="114" spans="2:20" ht="12.75" hidden="1">
      <c r="B114" t="s">
        <v>83</v>
      </c>
      <c r="T114" s="29">
        <f t="shared" si="11"/>
        <v>0</v>
      </c>
    </row>
    <row r="115" spans="2:20" ht="12.75" hidden="1">
      <c r="B115" t="s">
        <v>160</v>
      </c>
      <c r="H115" s="84">
        <f>4373.61+3600.6+5377.5+4089.1+4460+12490.5+24010.84+38543.73+115049.16+73930.64+77216.63+57866.22</f>
        <v>421008.53</v>
      </c>
      <c r="I115">
        <f>9074.76+3620.8+5264.2+4089.1+4459+67210.17+76428.73+75798.8+40267.09+118999.2+35837.9+81195.9+45704.42</f>
        <v>567950.0700000001</v>
      </c>
      <c r="J115">
        <f>5377.5+5816.2+4235.58+4551.71+5000+124429.88+88379.62+31963.9+126508.28+40667.1+66722.51+44621.1+91318.36+77030.8</f>
        <v>716622.54</v>
      </c>
      <c r="K115">
        <f>5215.5+4459+5816.2+10000+3883.5+5816.2+4089.1+4089.1+12000+53282.18+53671.44+88877.86+167766.37+80811.87+97729.97+23854.63</f>
        <v>621362.92</v>
      </c>
      <c r="L115">
        <f>10000+10528.4+5816.2+3712.47+4458.3+4458.3+10000+8895.12+4089.1+41748.13+34900.93+55036.8+48884.98+168841.62+92107.17+42672.6+44939.42+97177.81</f>
        <v>688267.3500000001</v>
      </c>
      <c r="M115">
        <f>4089.1+3466.81+5377.5+4551.71+10528.4+5816.2+70821+23572.49+72652.58+117543.07+80525.3+60843.59+37905.04+91190.42+30555.1</f>
        <v>619438.3099999999</v>
      </c>
      <c r="N115">
        <f>5000+7000+5377.5+5816.2+3411.54+4089.1+9000+4380.72+10980.4+5469.83+5000+13246.9+86103.94+65720.26+23113.15+87062.08+18168.8+100890.75+62435.83</f>
        <v>522267</v>
      </c>
      <c r="O115">
        <f>9000+4458.3+4458.3+5377.5+5816.2+4000+4319.85+5000+5738.25+57499.4+12476.1+36908.1+58053.14+13629.45+63079.41+63060.43+66451.61+48973.3+101822.29</f>
        <v>570121.63</v>
      </c>
      <c r="P115">
        <f>7000+4458.3+3039.08+4319.85+5816.2+5000+5738.25+26378.85+77720.32+45381.33+61603.52+60495.65+87036.82+34127.7+56263.93+109230.2</f>
        <v>593610</v>
      </c>
      <c r="Q115">
        <f>4319.85+5000+69961.32+53450.15+47482.63+47567.04+156276.44+107880.86+83112.86+50419.59</f>
        <v>625470.74</v>
      </c>
      <c r="R115">
        <f>4319.85+5738.25+7000+4000+5400+17148.6+7000+7865+5816.2+6105.75+79161.55+45146.59+71684.69+69724.18+22040.63+101848.15+28784.01+93043.89+30048.96+86584.5</f>
        <v>698460.7999999999</v>
      </c>
      <c r="S115">
        <f>7000+22525+4319.85+5000+5816.2+5377.5+3520+6105.75+4500+5816.2+5816.2+11432.4+8000+82893.49+5069.35+46547.15+31383.8+16182.41+71257.96+59335.95+93647.7+87121.23+198303.79+52881.59</f>
        <v>839853.52</v>
      </c>
      <c r="T115" s="29">
        <f t="shared" si="11"/>
        <v>7484433.41</v>
      </c>
    </row>
    <row r="116" spans="2:20" ht="12.75" hidden="1">
      <c r="B116" t="s">
        <v>181</v>
      </c>
      <c r="H116" s="84">
        <f>140000+120000+170000+140000+120000+170000-430000</f>
        <v>430000</v>
      </c>
      <c r="I116">
        <f>190000+140000+140000+140000</f>
        <v>610000</v>
      </c>
      <c r="J116">
        <f>130000+180000+140000+110000</f>
        <v>560000</v>
      </c>
      <c r="K116">
        <f>150000+110000+140000+190000+120000</f>
        <v>710000</v>
      </c>
      <c r="L116">
        <f>160000+200000+110000</f>
        <v>470000</v>
      </c>
      <c r="M116">
        <f>190000+140000+140000+140000+100000</f>
        <v>710000</v>
      </c>
      <c r="N116">
        <f>100000+125000+200000+125000</f>
        <v>550000</v>
      </c>
      <c r="O116">
        <f>100000+200000+135000</f>
        <v>435000</v>
      </c>
      <c r="P116">
        <f>15000+40000+175000+110000+145000+125000</f>
        <v>610000</v>
      </c>
      <c r="Q116">
        <f>170000+200000+148000</f>
        <v>518000</v>
      </c>
      <c r="R116">
        <f>179000+185000+90000+100000+125000</f>
        <v>679000</v>
      </c>
      <c r="S116">
        <f>160000+90000+80000+120000+140000+170000+50000</f>
        <v>810000</v>
      </c>
      <c r="T116" s="29">
        <f t="shared" si="11"/>
        <v>7092000</v>
      </c>
    </row>
    <row r="117" spans="2:21" s="85" customFormat="1" ht="12.75" hidden="1">
      <c r="B117" s="85" t="s">
        <v>184</v>
      </c>
      <c r="F117" s="86"/>
      <c r="G117" s="86"/>
      <c r="H117" s="85">
        <f>H115+H116+H27</f>
        <v>1029245.21</v>
      </c>
      <c r="I117" s="87">
        <f aca="true" t="shared" si="12" ref="I117:S117">I27+I115+I116</f>
        <v>1318051.2000000002</v>
      </c>
      <c r="J117" s="87">
        <f t="shared" si="12"/>
        <v>1459283.1800000002</v>
      </c>
      <c r="K117" s="87">
        <f t="shared" si="12"/>
        <v>1455628.4100000001</v>
      </c>
      <c r="L117" s="85">
        <f t="shared" si="12"/>
        <v>1333115.25</v>
      </c>
      <c r="M117" s="87">
        <f t="shared" si="12"/>
        <v>1469269.18</v>
      </c>
      <c r="N117" s="87">
        <f t="shared" si="12"/>
        <v>1201775.74</v>
      </c>
      <c r="O117" s="89">
        <f t="shared" si="12"/>
        <v>1069528.8599999999</v>
      </c>
      <c r="P117" s="85">
        <f t="shared" si="12"/>
        <v>1330550.4</v>
      </c>
      <c r="Q117" s="85">
        <f t="shared" si="12"/>
        <v>1220149.23</v>
      </c>
      <c r="R117" s="85">
        <f t="shared" si="12"/>
        <v>1555553.2799999998</v>
      </c>
      <c r="S117" s="85">
        <f t="shared" si="12"/>
        <v>4276473.949999999</v>
      </c>
      <c r="T117" s="29">
        <f t="shared" si="11"/>
        <v>18718623.89</v>
      </c>
      <c r="U117" s="87">
        <f>T27+T115+T116-T102-T103-T104</f>
        <v>18663143.89</v>
      </c>
    </row>
    <row r="118" spans="1:21" ht="12.75" hidden="1">
      <c r="A118" s="53"/>
      <c r="B118" s="53" t="s">
        <v>185</v>
      </c>
      <c r="C118" s="53"/>
      <c r="D118" s="53"/>
      <c r="E118" s="53"/>
      <c r="F118" s="52"/>
      <c r="G118" s="52"/>
      <c r="H118" s="53">
        <f>H83+H97+H105+H106+H107</f>
        <v>733952.23</v>
      </c>
      <c r="I118" s="53">
        <f>I83+I97+I105+I106</f>
        <v>905530.16</v>
      </c>
      <c r="J118" s="89">
        <f>J83+J97+J105+J106</f>
        <v>1081247.2</v>
      </c>
      <c r="K118" s="89">
        <f>K83+K93+K94+K97+K105+K106</f>
        <v>783505.5199999999</v>
      </c>
      <c r="L118" s="89">
        <f>L83+L97+L105+L106</f>
        <v>775702.9</v>
      </c>
      <c r="M118" s="53">
        <f>M83+M97+M98+M105+M106</f>
        <v>546569.74</v>
      </c>
      <c r="N118" s="53">
        <f>N83+N105+N106+N97+N94</f>
        <v>849591.7200000001</v>
      </c>
      <c r="O118" s="53">
        <f>O83+O97+O105+O106</f>
        <v>603640.5900000001</v>
      </c>
      <c r="P118" s="53">
        <f>P83+P97+P105+P106</f>
        <v>751593.3700000001</v>
      </c>
      <c r="Q118" s="53">
        <f>Q83+Q97+Q105+Q106+Q98</f>
        <v>155886.01999999996</v>
      </c>
      <c r="R118" s="53">
        <f>R83+R97+R105+R106</f>
        <v>724579.4199999999</v>
      </c>
      <c r="S118" s="53">
        <f>S83+S97+S105+S106</f>
        <v>1419831.7</v>
      </c>
      <c r="T118" s="29">
        <f t="shared" si="11"/>
        <v>9331630.569999998</v>
      </c>
      <c r="U118" s="88">
        <f>T83+T93+T94+T97+T98+T105+T106+T107</f>
        <v>9308450.57</v>
      </c>
    </row>
    <row r="119" ht="12.75" hidden="1"/>
    <row r="120" spans="1:20" ht="12.75" hidden="1">
      <c r="A120" s="54"/>
      <c r="B120" s="54" t="s">
        <v>118</v>
      </c>
      <c r="C120" s="54"/>
      <c r="D120" s="54"/>
      <c r="E120" s="54"/>
      <c r="F120" s="54"/>
      <c r="G120" s="54"/>
      <c r="H120" s="54">
        <v>577832.03</v>
      </c>
      <c r="I120" s="54">
        <f>I118</f>
        <v>905530.16</v>
      </c>
      <c r="J120" s="54"/>
      <c r="K120" s="55"/>
      <c r="L120" s="55"/>
      <c r="M120" s="55"/>
      <c r="N120" s="55"/>
      <c r="O120" s="55"/>
      <c r="P120" s="55"/>
      <c r="Q120" s="55"/>
      <c r="R120" s="55"/>
      <c r="S120" s="55"/>
      <c r="T120" s="53"/>
    </row>
    <row r="121" spans="1:20" ht="12.75" hidden="1">
      <c r="A121" s="56"/>
      <c r="B121" s="56" t="s">
        <v>119</v>
      </c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</row>
    <row r="122" spans="1:20" ht="12.75" hidden="1">
      <c r="A122" s="7"/>
      <c r="B122" s="7" t="s">
        <v>120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53"/>
    </row>
    <row r="123" ht="12.75" hidden="1"/>
    <row r="124" spans="1:20" ht="12.75" hidden="1">
      <c r="A124" s="57"/>
      <c r="B124" s="57"/>
      <c r="C124" s="57"/>
      <c r="D124" s="57"/>
      <c r="E124" s="57"/>
      <c r="F124" s="57"/>
      <c r="G124" s="57"/>
      <c r="H124" s="57">
        <f aca="true" t="shared" si="13" ref="H124:P124">SUM(H120:H123)</f>
        <v>577832.03</v>
      </c>
      <c r="I124" s="57">
        <f t="shared" si="13"/>
        <v>905530.16</v>
      </c>
      <c r="J124" s="57">
        <f t="shared" si="13"/>
        <v>0</v>
      </c>
      <c r="K124" s="58">
        <f t="shared" si="13"/>
        <v>0</v>
      </c>
      <c r="L124" s="58">
        <f t="shared" si="13"/>
        <v>0</v>
      </c>
      <c r="M124" s="58">
        <f t="shared" si="13"/>
        <v>0</v>
      </c>
      <c r="N124" s="58">
        <f t="shared" si="13"/>
        <v>0</v>
      </c>
      <c r="O124" s="58">
        <f t="shared" si="13"/>
        <v>0</v>
      </c>
      <c r="P124" s="58">
        <f t="shared" si="13"/>
        <v>0</v>
      </c>
      <c r="Q124" s="58">
        <f>SUM(Q120:Q123)</f>
        <v>0</v>
      </c>
      <c r="R124" s="58">
        <f>SUM(R120:R123)</f>
        <v>0</v>
      </c>
      <c r="S124" s="58">
        <f>SUM(S120:S123)</f>
        <v>0</v>
      </c>
      <c r="T124" s="53"/>
    </row>
    <row r="126" spans="5:7" ht="12.75">
      <c r="E126" s="14" t="s">
        <v>133</v>
      </c>
      <c r="F126" s="109" t="s">
        <v>168</v>
      </c>
      <c r="G126" s="114"/>
    </row>
    <row r="127" spans="2:7" ht="12.75">
      <c r="B127" s="128" t="s">
        <v>122</v>
      </c>
      <c r="C127" s="129"/>
      <c r="D127" s="60"/>
      <c r="E127" s="14">
        <v>8008.6</v>
      </c>
      <c r="F127" s="109">
        <v>2364.4</v>
      </c>
      <c r="G127" s="114"/>
    </row>
    <row r="128" spans="2:22" ht="12.75">
      <c r="B128" s="128" t="s">
        <v>123</v>
      </c>
      <c r="C128" s="129"/>
      <c r="D128" s="60"/>
      <c r="E128" s="14">
        <v>2658259.52</v>
      </c>
      <c r="F128" s="109">
        <v>2546723.76</v>
      </c>
      <c r="G128" s="114"/>
      <c r="V128" s="2"/>
    </row>
    <row r="132" spans="6:20" ht="12.75">
      <c r="F132"/>
      <c r="G132"/>
      <c r="T132"/>
    </row>
    <row r="133" ht="12.75" hidden="1"/>
    <row r="134" spans="4:20" ht="45.75" hidden="1">
      <c r="D134" s="98" t="s">
        <v>193</v>
      </c>
      <c r="E134" s="99" t="s">
        <v>194</v>
      </c>
      <c r="F134" s="66" t="s">
        <v>128</v>
      </c>
      <c r="G134" s="154" t="s">
        <v>131</v>
      </c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6"/>
    </row>
    <row r="135" spans="2:20" ht="12.75" hidden="1">
      <c r="B135" s="128" t="s">
        <v>124</v>
      </c>
      <c r="C135" s="130"/>
      <c r="D135" s="14">
        <v>322972.47</v>
      </c>
      <c r="E135" s="14">
        <v>320292.77</v>
      </c>
      <c r="F135" s="59">
        <v>343498.58</v>
      </c>
      <c r="G135" s="157">
        <f>E135-F135</f>
        <v>-23205.809999999998</v>
      </c>
      <c r="H135" s="138"/>
      <c r="I135" s="138"/>
      <c r="J135" s="138"/>
      <c r="K135" s="138"/>
      <c r="L135" s="138"/>
      <c r="M135" s="138"/>
      <c r="N135" s="138"/>
      <c r="O135" s="138"/>
      <c r="P135" s="138"/>
      <c r="Q135" s="138"/>
      <c r="R135" s="138"/>
      <c r="S135" s="138"/>
      <c r="T135" s="139"/>
    </row>
    <row r="136" spans="2:5" ht="12.75" hidden="1">
      <c r="B136" s="6"/>
      <c r="C136" s="6"/>
      <c r="D136" s="6"/>
      <c r="E136" s="6"/>
    </row>
    <row r="137" spans="2:20" ht="12.75" hidden="1">
      <c r="B137" s="128" t="s">
        <v>125</v>
      </c>
      <c r="C137" s="130"/>
      <c r="D137" s="14">
        <v>495045.63</v>
      </c>
      <c r="E137" s="14">
        <v>490628.65</v>
      </c>
      <c r="F137" s="59">
        <v>524816.16</v>
      </c>
      <c r="G137" s="157">
        <f>E137-F137</f>
        <v>-34187.51000000001</v>
      </c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8"/>
      <c r="S137" s="138"/>
      <c r="T137" s="139"/>
    </row>
    <row r="138" spans="2:5" ht="12.75" hidden="1">
      <c r="B138" s="6"/>
      <c r="C138" s="6"/>
      <c r="D138" s="6"/>
      <c r="E138" s="6"/>
    </row>
    <row r="139" spans="2:20" ht="12.75" hidden="1">
      <c r="B139" s="128" t="s">
        <v>126</v>
      </c>
      <c r="C139" s="130"/>
      <c r="D139" s="14">
        <v>1437412.56</v>
      </c>
      <c r="E139" s="14">
        <v>1186950.72</v>
      </c>
      <c r="F139" s="35">
        <v>1587955.87</v>
      </c>
      <c r="G139" s="157">
        <f>E139-F139</f>
        <v>-401005.15000000014</v>
      </c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9"/>
    </row>
    <row r="140" spans="2:5" ht="12.75" hidden="1">
      <c r="B140" s="6"/>
      <c r="C140" s="6"/>
      <c r="D140" s="6"/>
      <c r="E140" s="6"/>
    </row>
    <row r="141" spans="2:20" ht="12.75" hidden="1">
      <c r="B141" s="128" t="s">
        <v>127</v>
      </c>
      <c r="C141" s="130"/>
      <c r="D141" s="14">
        <v>2915988.1</v>
      </c>
      <c r="E141" s="14">
        <v>2914638.11</v>
      </c>
      <c r="F141" s="59">
        <v>2637017</v>
      </c>
      <c r="G141" s="157">
        <f>E141-F141</f>
        <v>277621.10999999987</v>
      </c>
      <c r="H141" s="138"/>
      <c r="I141" s="138"/>
      <c r="J141" s="138"/>
      <c r="K141" s="138"/>
      <c r="L141" s="138"/>
      <c r="M141" s="138"/>
      <c r="N141" s="138"/>
      <c r="O141" s="138"/>
      <c r="P141" s="138"/>
      <c r="Q141" s="138"/>
      <c r="R141" s="138"/>
      <c r="S141" s="138"/>
      <c r="T141" s="139"/>
    </row>
    <row r="142" spans="2:20" ht="12.75" hidden="1">
      <c r="B142" s="128" t="s">
        <v>132</v>
      </c>
      <c r="C142" s="130"/>
      <c r="D142" s="14"/>
      <c r="E142" s="14"/>
      <c r="F142" s="14"/>
      <c r="G142" s="128">
        <f>SUM(G135:G141)</f>
        <v>-180777.36000000028</v>
      </c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9"/>
    </row>
    <row r="143" ht="12.75" hidden="1"/>
    <row r="144" spans="2:7" ht="12.75" hidden="1">
      <c r="B144" s="128" t="s">
        <v>146</v>
      </c>
      <c r="C144" s="129"/>
      <c r="D144" s="129"/>
      <c r="E144" s="129"/>
      <c r="F144" s="129"/>
      <c r="G144" s="130"/>
    </row>
    <row r="145" spans="2:7" ht="12.75" hidden="1">
      <c r="B145" s="158"/>
      <c r="C145" s="159"/>
      <c r="D145" s="158"/>
      <c r="E145" s="159"/>
      <c r="F145" s="158"/>
      <c r="G145" s="159"/>
    </row>
    <row r="146" spans="2:7" ht="12.75" hidden="1">
      <c r="B146" s="160" t="s">
        <v>147</v>
      </c>
      <c r="C146" s="161"/>
      <c r="D146" s="158"/>
      <c r="E146" s="159"/>
      <c r="F146" s="158"/>
      <c r="G146" s="159"/>
    </row>
    <row r="147" spans="2:7" ht="12.75" hidden="1">
      <c r="B147" s="160" t="s">
        <v>124</v>
      </c>
      <c r="C147" s="161"/>
      <c r="D147" s="158"/>
      <c r="E147" s="159"/>
      <c r="F147" s="158"/>
      <c r="G147" s="159"/>
    </row>
    <row r="148" spans="2:7" ht="12.75" hidden="1">
      <c r="B148" s="160" t="s">
        <v>148</v>
      </c>
      <c r="C148" s="161"/>
      <c r="D148" s="158"/>
      <c r="E148" s="159"/>
      <c r="F148" s="158"/>
      <c r="G148" s="159"/>
    </row>
    <row r="149" spans="2:7" ht="12.75" hidden="1">
      <c r="B149" s="160" t="s">
        <v>126</v>
      </c>
      <c r="C149" s="161"/>
      <c r="D149" s="158"/>
      <c r="E149" s="159"/>
      <c r="F149" s="158"/>
      <c r="G149" s="159"/>
    </row>
    <row r="150" spans="2:7" ht="12.75" hidden="1">
      <c r="B150" s="72"/>
      <c r="C150" s="72"/>
      <c r="D150" s="73"/>
      <c r="E150" s="73"/>
      <c r="F150" s="73"/>
      <c r="G150" s="73"/>
    </row>
    <row r="151" spans="2:7" ht="12.75" hidden="1">
      <c r="B151" s="72"/>
      <c r="C151" s="72"/>
      <c r="D151" s="73"/>
      <c r="E151" s="73"/>
      <c r="F151" s="73"/>
      <c r="G151" s="73"/>
    </row>
    <row r="152" ht="12.75" hidden="1"/>
    <row r="153" spans="2:7" ht="12.75" hidden="1">
      <c r="B153" s="162" t="s">
        <v>149</v>
      </c>
      <c r="C153" s="163"/>
      <c r="D153" s="163"/>
      <c r="E153" s="163"/>
      <c r="F153" s="163"/>
      <c r="G153" s="164"/>
    </row>
    <row r="154" spans="2:7" ht="12.75" hidden="1">
      <c r="B154" s="165"/>
      <c r="C154" s="166"/>
      <c r="D154" s="166"/>
      <c r="E154" s="166"/>
      <c r="F154" s="166"/>
      <c r="G154" s="167"/>
    </row>
    <row r="155" spans="2:7" ht="12.75" hidden="1">
      <c r="B155" s="168" t="s">
        <v>73</v>
      </c>
      <c r="C155" s="169"/>
      <c r="D155" s="170" t="s">
        <v>170</v>
      </c>
      <c r="E155" s="171"/>
      <c r="F155" s="172" t="s">
        <v>171</v>
      </c>
      <c r="G155" s="159"/>
    </row>
    <row r="156" spans="2:7" ht="12.75" hidden="1">
      <c r="B156" s="168" t="s">
        <v>124</v>
      </c>
      <c r="C156" s="169"/>
      <c r="D156" s="170" t="s">
        <v>151</v>
      </c>
      <c r="E156" s="171"/>
      <c r="F156" s="173" t="s">
        <v>173</v>
      </c>
      <c r="G156" s="174"/>
    </row>
    <row r="157" spans="2:7" ht="12.75" hidden="1">
      <c r="B157" s="168" t="s">
        <v>148</v>
      </c>
      <c r="C157" s="169"/>
      <c r="D157" s="170" t="s">
        <v>152</v>
      </c>
      <c r="E157" s="171"/>
      <c r="F157" s="173" t="s">
        <v>174</v>
      </c>
      <c r="G157" s="174"/>
    </row>
    <row r="158" spans="2:7" ht="12.75" hidden="1">
      <c r="B158" s="168" t="s">
        <v>150</v>
      </c>
      <c r="C158" s="169"/>
      <c r="D158" s="170" t="s">
        <v>153</v>
      </c>
      <c r="E158" s="171"/>
      <c r="F158" s="173" t="s">
        <v>175</v>
      </c>
      <c r="G158" s="174"/>
    </row>
    <row r="159" spans="2:7" ht="12.75" hidden="1">
      <c r="B159" s="175" t="s">
        <v>154</v>
      </c>
      <c r="C159" s="176"/>
      <c r="D159" s="172" t="s">
        <v>172</v>
      </c>
      <c r="E159" s="159"/>
      <c r="F159" s="172" t="s">
        <v>176</v>
      </c>
      <c r="G159" s="159"/>
    </row>
    <row r="160" spans="2:7" ht="12.75" hidden="1">
      <c r="B160" s="177" t="s">
        <v>156</v>
      </c>
      <c r="C160" s="178"/>
      <c r="D160" s="181" t="s">
        <v>177</v>
      </c>
      <c r="E160" s="182"/>
      <c r="F160" s="185" t="s">
        <v>178</v>
      </c>
      <c r="G160" s="186"/>
    </row>
    <row r="161" spans="2:7" ht="36" customHeight="1" hidden="1">
      <c r="B161" s="179"/>
      <c r="C161" s="180"/>
      <c r="D161" s="183"/>
      <c r="E161" s="184"/>
      <c r="F161" s="187"/>
      <c r="G161" s="188"/>
    </row>
    <row r="162" spans="2:7" ht="12.75" hidden="1">
      <c r="B162" s="177" t="s">
        <v>157</v>
      </c>
      <c r="C162" s="178"/>
      <c r="D162" s="181"/>
      <c r="E162" s="182"/>
      <c r="F162" s="189"/>
      <c r="G162" s="190"/>
    </row>
    <row r="163" spans="2:7" ht="24" customHeight="1" hidden="1">
      <c r="B163" s="179"/>
      <c r="C163" s="180"/>
      <c r="D163" s="183"/>
      <c r="E163" s="184"/>
      <c r="F163" s="191"/>
      <c r="G163" s="192"/>
    </row>
    <row r="164" spans="2:7" ht="12.75" hidden="1">
      <c r="B164" s="177" t="s">
        <v>158</v>
      </c>
      <c r="C164" s="178"/>
      <c r="D164" s="181" t="s">
        <v>155</v>
      </c>
      <c r="E164" s="182"/>
      <c r="F164" s="181" t="s">
        <v>179</v>
      </c>
      <c r="G164" s="182"/>
    </row>
    <row r="165" spans="2:7" ht="30" customHeight="1" hidden="1">
      <c r="B165" s="179"/>
      <c r="C165" s="180"/>
      <c r="D165" s="183"/>
      <c r="E165" s="184"/>
      <c r="F165" s="183"/>
      <c r="G165" s="184"/>
    </row>
    <row r="166" spans="2:7" ht="12.75" hidden="1">
      <c r="B166" s="177" t="s">
        <v>159</v>
      </c>
      <c r="C166" s="178"/>
      <c r="D166" s="181"/>
      <c r="E166" s="182"/>
      <c r="F166" s="189"/>
      <c r="G166" s="190"/>
    </row>
    <row r="167" spans="2:7" ht="18.75" customHeight="1" hidden="1">
      <c r="B167" s="179"/>
      <c r="C167" s="180"/>
      <c r="D167" s="183"/>
      <c r="E167" s="184"/>
      <c r="F167" s="191"/>
      <c r="G167" s="192"/>
    </row>
    <row r="168" spans="2:7" ht="12.75" hidden="1">
      <c r="B168" s="69"/>
      <c r="C168" s="69"/>
      <c r="D168" s="70"/>
      <c r="E168" s="70"/>
      <c r="F168" s="189"/>
      <c r="G168" s="190"/>
    </row>
    <row r="169" spans="2:7" ht="12.75" hidden="1">
      <c r="B169" s="69"/>
      <c r="C169" s="69"/>
      <c r="D169" s="70"/>
      <c r="E169" s="70"/>
      <c r="F169" s="191"/>
      <c r="G169" s="192"/>
    </row>
    <row r="170" spans="6:7" ht="12.75" hidden="1">
      <c r="F170" s="71"/>
      <c r="G170" s="71"/>
    </row>
    <row r="171" spans="1:20" ht="12.75" hidden="1">
      <c r="A171" t="s">
        <v>180</v>
      </c>
      <c r="B171" s="13" t="s">
        <v>46</v>
      </c>
      <c r="C171" s="13"/>
      <c r="D171" s="13"/>
      <c r="E171" s="13"/>
      <c r="F171" s="71"/>
      <c r="G171" s="71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29" t="s">
        <v>73</v>
      </c>
    </row>
    <row r="172" spans="2:20" ht="12.75" hidden="1">
      <c r="B172" s="13"/>
      <c r="C172" s="13"/>
      <c r="D172" s="13"/>
      <c r="E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29" t="s">
        <v>73</v>
      </c>
    </row>
    <row r="173" spans="6:7" ht="12.75" hidden="1">
      <c r="F173" s="152" t="s">
        <v>41</v>
      </c>
      <c r="G173" s="153"/>
    </row>
    <row r="174" spans="2:20" ht="12.75" hidden="1">
      <c r="B174" t="s">
        <v>42</v>
      </c>
      <c r="E174" t="s">
        <v>43</v>
      </c>
      <c r="F174" s="152" t="s">
        <v>47</v>
      </c>
      <c r="G174" s="153"/>
      <c r="T174" s="29" t="s">
        <v>73</v>
      </c>
    </row>
    <row r="175" ht="12.75" hidden="1">
      <c r="T175"/>
    </row>
    <row r="176" ht="12.75" hidden="1">
      <c r="F176" s="6" t="s">
        <v>44</v>
      </c>
    </row>
    <row r="177" spans="4:20" ht="26.25" hidden="1">
      <c r="D177" s="62" t="s">
        <v>129</v>
      </c>
      <c r="E177" s="61" t="s">
        <v>130</v>
      </c>
      <c r="F177"/>
      <c r="G177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36"/>
    </row>
    <row r="178" spans="2:20" ht="12.75" hidden="1">
      <c r="B178" s="128" t="s">
        <v>124</v>
      </c>
      <c r="C178" s="130"/>
      <c r="D178" s="14">
        <v>319683</v>
      </c>
      <c r="E178" s="14">
        <f>311320+9576</f>
        <v>320896</v>
      </c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36"/>
    </row>
    <row r="179" spans="2:7" ht="21" hidden="1">
      <c r="B179" s="6"/>
      <c r="C179" s="6"/>
      <c r="D179" s="6"/>
      <c r="E179" s="6"/>
      <c r="F179" s="63" t="s">
        <v>128</v>
      </c>
      <c r="G179" s="81" t="s">
        <v>131</v>
      </c>
    </row>
    <row r="180" spans="2:20" ht="12.75" hidden="1">
      <c r="B180" s="128" t="s">
        <v>125</v>
      </c>
      <c r="C180" s="130"/>
      <c r="D180" s="14">
        <v>484840</v>
      </c>
      <c r="E180" s="14">
        <f>471029+14448</f>
        <v>485477</v>
      </c>
      <c r="F180" s="59">
        <v>339693</v>
      </c>
      <c r="G180" s="83">
        <f>E178-F180</f>
        <v>-18797</v>
      </c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36"/>
    </row>
    <row r="181" spans="2:5" ht="12.75" hidden="1">
      <c r="B181" s="6"/>
      <c r="C181" s="6"/>
      <c r="D181" s="6"/>
      <c r="E181" s="6"/>
    </row>
    <row r="182" spans="2:20" ht="12.75" hidden="1">
      <c r="B182" s="128" t="s">
        <v>126</v>
      </c>
      <c r="C182" s="130"/>
      <c r="D182" s="14">
        <v>1130038</v>
      </c>
      <c r="E182" s="14">
        <f>1086798+33264</f>
        <v>1120062</v>
      </c>
      <c r="F182" s="59">
        <v>460571</v>
      </c>
      <c r="G182" s="83">
        <f>E180-F182</f>
        <v>24906</v>
      </c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36"/>
    </row>
    <row r="183" spans="2:5" ht="12.75" hidden="1">
      <c r="B183" s="6"/>
      <c r="C183" s="6"/>
      <c r="D183" s="6"/>
      <c r="E183" s="6"/>
    </row>
    <row r="184" spans="2:20" ht="12.75" hidden="1">
      <c r="B184" s="128" t="s">
        <v>127</v>
      </c>
      <c r="C184" s="130"/>
      <c r="D184" s="14">
        <v>2752578</v>
      </c>
      <c r="E184" s="14">
        <f>2626720+83892</f>
        <v>2710612</v>
      </c>
      <c r="F184" s="59">
        <v>888900</v>
      </c>
      <c r="G184" s="83">
        <f>E182-F184</f>
        <v>231162</v>
      </c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36"/>
    </row>
    <row r="185" spans="2:20" ht="12.75" hidden="1">
      <c r="B185" s="128" t="s">
        <v>132</v>
      </c>
      <c r="C185" s="130"/>
      <c r="D185" s="14">
        <f>SUM(D178:D184)</f>
        <v>4687139</v>
      </c>
      <c r="E185" s="14">
        <f>SUM(E178:E184)</f>
        <v>4637047</v>
      </c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36"/>
    </row>
    <row r="186" spans="6:7" ht="12.75" hidden="1">
      <c r="F186" s="59">
        <v>2523402</v>
      </c>
      <c r="G186" s="83">
        <f>E184-F186</f>
        <v>187210</v>
      </c>
    </row>
    <row r="187" spans="6:7" ht="12.75" hidden="1">
      <c r="F187" s="14">
        <f>SUM(F180:F186)</f>
        <v>4212566</v>
      </c>
      <c r="G187" s="59">
        <f>SUM(G180:G186)</f>
        <v>424481</v>
      </c>
    </row>
    <row r="188" spans="1:20" ht="12.75" hidden="1">
      <c r="A188" s="13"/>
      <c r="B188" s="13" t="s">
        <v>46</v>
      </c>
      <c r="C188" s="13"/>
      <c r="D188" s="13"/>
      <c r="E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29" t="s">
        <v>73</v>
      </c>
    </row>
    <row r="189" spans="1:20" ht="12.75" hidden="1">
      <c r="A189" s="13"/>
      <c r="B189" s="13"/>
      <c r="C189" s="13"/>
      <c r="D189" s="13"/>
      <c r="E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29" t="s">
        <v>73</v>
      </c>
    </row>
    <row r="190" spans="6:7" ht="12.75" hidden="1">
      <c r="F190" s="152" t="s">
        <v>41</v>
      </c>
      <c r="G190" s="153"/>
    </row>
    <row r="191" spans="6:7" ht="12.75" hidden="1">
      <c r="F191" s="152" t="s">
        <v>47</v>
      </c>
      <c r="G191" s="153"/>
    </row>
    <row r="192" ht="12.75" hidden="1"/>
  </sheetData>
  <sheetProtection/>
  <mergeCells count="168">
    <mergeCell ref="F191:G191"/>
    <mergeCell ref="F168:G169"/>
    <mergeCell ref="F173:G173"/>
    <mergeCell ref="F174:G174"/>
    <mergeCell ref="B178:C178"/>
    <mergeCell ref="B180:C180"/>
    <mergeCell ref="B182:C182"/>
    <mergeCell ref="B166:C167"/>
    <mergeCell ref="D166:E167"/>
    <mergeCell ref="F166:G167"/>
    <mergeCell ref="B184:C184"/>
    <mergeCell ref="B185:C185"/>
    <mergeCell ref="F190:G190"/>
    <mergeCell ref="B162:C163"/>
    <mergeCell ref="D162:E163"/>
    <mergeCell ref="F162:G163"/>
    <mergeCell ref="B164:C165"/>
    <mergeCell ref="D164:E165"/>
    <mergeCell ref="F164:G165"/>
    <mergeCell ref="B159:C159"/>
    <mergeCell ref="D159:E159"/>
    <mergeCell ref="F159:G159"/>
    <mergeCell ref="B160:C161"/>
    <mergeCell ref="D160:E161"/>
    <mergeCell ref="F160:G161"/>
    <mergeCell ref="B157:C157"/>
    <mergeCell ref="D157:E157"/>
    <mergeCell ref="F157:G157"/>
    <mergeCell ref="B158:C158"/>
    <mergeCell ref="D158:E158"/>
    <mergeCell ref="F158:G158"/>
    <mergeCell ref="B153:G154"/>
    <mergeCell ref="B155:C155"/>
    <mergeCell ref="D155:E155"/>
    <mergeCell ref="F155:G155"/>
    <mergeCell ref="B156:C156"/>
    <mergeCell ref="D156:E156"/>
    <mergeCell ref="F156:G156"/>
    <mergeCell ref="B148:C148"/>
    <mergeCell ref="D148:E148"/>
    <mergeCell ref="F148:G148"/>
    <mergeCell ref="B149:C149"/>
    <mergeCell ref="D149:E149"/>
    <mergeCell ref="F149:G149"/>
    <mergeCell ref="B146:C146"/>
    <mergeCell ref="D146:E146"/>
    <mergeCell ref="F146:G146"/>
    <mergeCell ref="B147:C147"/>
    <mergeCell ref="D147:E147"/>
    <mergeCell ref="F147:G147"/>
    <mergeCell ref="B142:C142"/>
    <mergeCell ref="G142:T142"/>
    <mergeCell ref="B144:G144"/>
    <mergeCell ref="B145:C145"/>
    <mergeCell ref="D145:E145"/>
    <mergeCell ref="F145:G145"/>
    <mergeCell ref="B137:C137"/>
    <mergeCell ref="G137:T137"/>
    <mergeCell ref="B139:C139"/>
    <mergeCell ref="G139:T139"/>
    <mergeCell ref="B141:C141"/>
    <mergeCell ref="G141:T141"/>
    <mergeCell ref="B127:C127"/>
    <mergeCell ref="F127:G127"/>
    <mergeCell ref="B128:C128"/>
    <mergeCell ref="F128:G128"/>
    <mergeCell ref="G134:T134"/>
    <mergeCell ref="B135:C135"/>
    <mergeCell ref="G135:T135"/>
    <mergeCell ref="B79:E79"/>
    <mergeCell ref="F79:G79"/>
    <mergeCell ref="F83:G83"/>
    <mergeCell ref="F86:G86"/>
    <mergeCell ref="F87:G87"/>
    <mergeCell ref="F126:G126"/>
    <mergeCell ref="F75:G75"/>
    <mergeCell ref="B76:E76"/>
    <mergeCell ref="F76:G76"/>
    <mergeCell ref="B77:E77"/>
    <mergeCell ref="F77:G77"/>
    <mergeCell ref="B78:E78"/>
    <mergeCell ref="F78:G78"/>
    <mergeCell ref="B71:E71"/>
    <mergeCell ref="F71:G71"/>
    <mergeCell ref="F72:G72"/>
    <mergeCell ref="B73:E73"/>
    <mergeCell ref="F73:G73"/>
    <mergeCell ref="F74:G74"/>
    <mergeCell ref="F64:G64"/>
    <mergeCell ref="B65:E65"/>
    <mergeCell ref="B66:E66"/>
    <mergeCell ref="F66:G66"/>
    <mergeCell ref="F69:G69"/>
    <mergeCell ref="B70:E70"/>
    <mergeCell ref="F70:G70"/>
    <mergeCell ref="F67:G67"/>
    <mergeCell ref="B60:E60"/>
    <mergeCell ref="F60:G60"/>
    <mergeCell ref="B61:E61"/>
    <mergeCell ref="F61:G61"/>
    <mergeCell ref="F62:G62"/>
    <mergeCell ref="F63:G63"/>
    <mergeCell ref="B56:E56"/>
    <mergeCell ref="F56:G56"/>
    <mergeCell ref="F57:G57"/>
    <mergeCell ref="B58:E58"/>
    <mergeCell ref="F58:G58"/>
    <mergeCell ref="B59:E59"/>
    <mergeCell ref="F59:G59"/>
    <mergeCell ref="B53:E53"/>
    <mergeCell ref="F53:G53"/>
    <mergeCell ref="B54:E54"/>
    <mergeCell ref="F54:G54"/>
    <mergeCell ref="B55:E55"/>
    <mergeCell ref="F55:G55"/>
    <mergeCell ref="B50:E50"/>
    <mergeCell ref="F50:G50"/>
    <mergeCell ref="B51:E51"/>
    <mergeCell ref="F51:G51"/>
    <mergeCell ref="B52:E52"/>
    <mergeCell ref="F52:G52"/>
    <mergeCell ref="B44:E44"/>
    <mergeCell ref="F44:G44"/>
    <mergeCell ref="F46:G46"/>
    <mergeCell ref="B48:E48"/>
    <mergeCell ref="F48:G48"/>
    <mergeCell ref="B49:E49"/>
    <mergeCell ref="F49:G49"/>
    <mergeCell ref="B41:E41"/>
    <mergeCell ref="F41:G41"/>
    <mergeCell ref="B42:E42"/>
    <mergeCell ref="F42:G42"/>
    <mergeCell ref="B43:E43"/>
    <mergeCell ref="F43:G43"/>
    <mergeCell ref="B38:E38"/>
    <mergeCell ref="F38:G38"/>
    <mergeCell ref="B39:E39"/>
    <mergeCell ref="F39:G39"/>
    <mergeCell ref="B40:E40"/>
    <mergeCell ref="F40:G40"/>
    <mergeCell ref="B31:E31"/>
    <mergeCell ref="B34:E34"/>
    <mergeCell ref="B35:E35"/>
    <mergeCell ref="F35:G35"/>
    <mergeCell ref="F36:G36"/>
    <mergeCell ref="B37:E37"/>
    <mergeCell ref="F37:G37"/>
    <mergeCell ref="B25:E25"/>
    <mergeCell ref="F25:G25"/>
    <mergeCell ref="F26:G26"/>
    <mergeCell ref="B27:E27"/>
    <mergeCell ref="F27:G27"/>
    <mergeCell ref="A29:C29"/>
    <mergeCell ref="F20:G20"/>
    <mergeCell ref="F21:G21"/>
    <mergeCell ref="B22:E22"/>
    <mergeCell ref="F22:G22"/>
    <mergeCell ref="B24:E24"/>
    <mergeCell ref="F24:G24"/>
    <mergeCell ref="F18:G18"/>
    <mergeCell ref="B19:E19"/>
    <mergeCell ref="F19:G19"/>
    <mergeCell ref="A12:J12"/>
    <mergeCell ref="A13:K13"/>
    <mergeCell ref="A15:C15"/>
    <mergeCell ref="F15:G15"/>
    <mergeCell ref="B17:E17"/>
    <mergeCell ref="F17:G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83"/>
  <sheetViews>
    <sheetView tabSelected="1" zoomScalePageLayoutView="0" workbookViewId="0" topLeftCell="A67">
      <selection activeCell="E121" sqref="E121"/>
    </sheetView>
  </sheetViews>
  <sheetFormatPr defaultColWidth="9.00390625" defaultRowHeight="12.75"/>
  <cols>
    <col min="1" max="1" width="9.875" style="0" customWidth="1"/>
    <col min="2" max="2" width="7.25390625" style="0" customWidth="1"/>
    <col min="3" max="3" width="9.625" style="0" customWidth="1"/>
    <col min="4" max="4" width="10.50390625" style="0" customWidth="1"/>
    <col min="5" max="5" width="22.25390625" style="0" customWidth="1"/>
    <col min="6" max="6" width="14.875" style="6" customWidth="1"/>
    <col min="7" max="7" width="12.50390625" style="6" customWidth="1"/>
    <col min="8" max="8" width="12.125" style="0" hidden="1" customWidth="1"/>
    <col min="9" max="9" width="10.50390625" style="0" hidden="1" customWidth="1"/>
    <col min="10" max="10" width="10.625" style="0" hidden="1" customWidth="1"/>
    <col min="11" max="11" width="10.875" style="0" hidden="1" customWidth="1"/>
    <col min="12" max="12" width="12.50390625" style="0" hidden="1" customWidth="1"/>
    <col min="13" max="13" width="11.00390625" style="0" hidden="1" customWidth="1"/>
    <col min="14" max="14" width="10.50390625" style="0" hidden="1" customWidth="1"/>
    <col min="15" max="15" width="10.875" style="0" hidden="1" customWidth="1"/>
    <col min="16" max="16" width="10.50390625" style="0" hidden="1" customWidth="1"/>
    <col min="17" max="17" width="10.875" style="0" hidden="1" customWidth="1"/>
    <col min="18" max="19" width="11.25390625" style="0" hidden="1" customWidth="1"/>
    <col min="20" max="20" width="11.75390625" style="9" hidden="1" customWidth="1"/>
    <col min="21" max="21" width="12.50390625" style="0" customWidth="1"/>
    <col min="22" max="22" width="18.50390625" style="0" bestFit="1" customWidth="1"/>
  </cols>
  <sheetData>
    <row r="2" spans="6:20" ht="12.75">
      <c r="F2"/>
      <c r="G2"/>
      <c r="T2"/>
    </row>
    <row r="3" spans="6:20" ht="12.75">
      <c r="F3"/>
      <c r="G3"/>
      <c r="T3"/>
    </row>
    <row r="5" spans="1:6" ht="12.75">
      <c r="A5" t="s">
        <v>15</v>
      </c>
      <c r="F5" s="6" t="s">
        <v>16</v>
      </c>
    </row>
    <row r="6" spans="1:6" ht="12.75">
      <c r="A6" t="s">
        <v>211</v>
      </c>
      <c r="F6" s="6" t="s">
        <v>18</v>
      </c>
    </row>
    <row r="7" spans="1:6" ht="12.75">
      <c r="A7" t="s">
        <v>24</v>
      </c>
      <c r="F7" s="6" t="s">
        <v>19</v>
      </c>
    </row>
    <row r="8" ht="12.75">
      <c r="F8" s="6" t="s">
        <v>213</v>
      </c>
    </row>
    <row r="9" spans="6:20" ht="12.75">
      <c r="F9"/>
      <c r="G9"/>
      <c r="T9"/>
    </row>
    <row r="10" ht="12.75">
      <c r="A10" s="4" t="s">
        <v>23</v>
      </c>
    </row>
    <row r="12" spans="1:10" ht="21">
      <c r="A12" s="111" t="s">
        <v>0</v>
      </c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1" ht="15">
      <c r="A13" s="112" t="s">
        <v>220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ht="12.75">
      <c r="J14" s="1"/>
    </row>
    <row r="15" spans="1:20" ht="17.25">
      <c r="A15" s="113" t="s">
        <v>1</v>
      </c>
      <c r="B15" s="113"/>
      <c r="C15" s="113"/>
      <c r="D15" s="13"/>
      <c r="E15" s="13"/>
      <c r="F15" s="122" t="s">
        <v>89</v>
      </c>
      <c r="G15" s="123"/>
      <c r="H15" s="13" t="s">
        <v>49</v>
      </c>
      <c r="I15" s="13" t="s">
        <v>50</v>
      </c>
      <c r="J15" s="15" t="s">
        <v>51</v>
      </c>
      <c r="K15" s="13" t="s">
        <v>52</v>
      </c>
      <c r="L15" s="13" t="s">
        <v>53</v>
      </c>
      <c r="M15" s="13" t="s">
        <v>54</v>
      </c>
      <c r="N15" s="13" t="s">
        <v>56</v>
      </c>
      <c r="O15" s="13" t="s">
        <v>57</v>
      </c>
      <c r="P15" s="13" t="s">
        <v>58</v>
      </c>
      <c r="Q15" s="13" t="s">
        <v>70</v>
      </c>
      <c r="R15" s="13" t="s">
        <v>71</v>
      </c>
      <c r="S15" s="13" t="s">
        <v>72</v>
      </c>
      <c r="T15" s="16" t="s">
        <v>90</v>
      </c>
    </row>
    <row r="16" spans="1:20" ht="12.75">
      <c r="A16" s="13"/>
      <c r="B16" s="13"/>
      <c r="C16" s="13"/>
      <c r="D16" s="13"/>
      <c r="E16" s="13"/>
      <c r="F16" s="14"/>
      <c r="G16" s="14"/>
      <c r="H16" s="13"/>
      <c r="I16" s="13"/>
      <c r="J16" s="15"/>
      <c r="K16" s="13"/>
      <c r="L16" s="13"/>
      <c r="M16" s="13"/>
      <c r="N16" s="13"/>
      <c r="O16" s="13"/>
      <c r="P16" s="13"/>
      <c r="Q16" s="13"/>
      <c r="R16" s="13"/>
      <c r="S16" s="13"/>
      <c r="T16" s="16"/>
    </row>
    <row r="17" spans="1:20" ht="12.75">
      <c r="A17" s="13">
        <v>1</v>
      </c>
      <c r="B17" s="114" t="s">
        <v>2</v>
      </c>
      <c r="C17" s="114"/>
      <c r="D17" s="114"/>
      <c r="E17" s="114"/>
      <c r="F17" s="110">
        <v>1673100</v>
      </c>
      <c r="G17" s="110"/>
      <c r="H17" s="13"/>
      <c r="I17" s="13"/>
      <c r="J17" s="15"/>
      <c r="K17" s="13"/>
      <c r="L17" s="13"/>
      <c r="M17" s="13"/>
      <c r="N17" s="13"/>
      <c r="O17" s="41"/>
      <c r="P17" s="41"/>
      <c r="Q17" s="41"/>
      <c r="R17" s="13"/>
      <c r="S17" s="13"/>
      <c r="T17" s="29">
        <f>H17+I17+J17+K17+L17+M17+N17+O17+P17+Q17+R17+S17</f>
        <v>0</v>
      </c>
    </row>
    <row r="18" spans="1:20" ht="12.75">
      <c r="A18" s="13">
        <v>2</v>
      </c>
      <c r="B18" s="17" t="s">
        <v>140</v>
      </c>
      <c r="C18" s="17"/>
      <c r="D18" s="17"/>
      <c r="E18" s="17"/>
      <c r="F18" s="119">
        <v>28000</v>
      </c>
      <c r="G18" s="120"/>
      <c r="H18" s="13"/>
      <c r="I18" s="13"/>
      <c r="J18" s="15"/>
      <c r="K18" s="13"/>
      <c r="L18" s="13"/>
      <c r="M18" s="13"/>
      <c r="N18" s="13"/>
      <c r="O18" s="41"/>
      <c r="P18" s="41"/>
      <c r="Q18" s="41"/>
      <c r="R18" s="13"/>
      <c r="S18" s="13"/>
      <c r="T18" s="29">
        <f>H18+I18+J18+K18+L18+M18+N18+O18+P18+Q18+R18+S18</f>
        <v>0</v>
      </c>
    </row>
    <row r="19" spans="1:20" ht="12.75">
      <c r="A19" s="13">
        <v>3</v>
      </c>
      <c r="B19" s="121" t="s">
        <v>134</v>
      </c>
      <c r="C19" s="114"/>
      <c r="D19" s="114"/>
      <c r="E19" s="114"/>
      <c r="F19" s="110">
        <v>2547300</v>
      </c>
      <c r="G19" s="110"/>
      <c r="H19" s="13"/>
      <c r="I19" s="13"/>
      <c r="J19" s="15"/>
      <c r="K19" s="13"/>
      <c r="L19" s="13"/>
      <c r="M19" s="13"/>
      <c r="N19" s="13"/>
      <c r="O19" s="13"/>
      <c r="P19" s="41"/>
      <c r="Q19" s="41"/>
      <c r="R19" s="13"/>
      <c r="S19" s="13"/>
      <c r="T19" s="29">
        <f>H19+I19+J19+K19+L19+M19+N19+O19+P19+Q19+R19+S19</f>
        <v>0</v>
      </c>
    </row>
    <row r="20" spans="1:20" ht="12.75">
      <c r="A20" s="13">
        <v>4</v>
      </c>
      <c r="B20" s="67" t="s">
        <v>135</v>
      </c>
      <c r="C20" s="17"/>
      <c r="D20" s="17"/>
      <c r="E20" s="17"/>
      <c r="F20" s="119">
        <v>77000</v>
      </c>
      <c r="G20" s="120"/>
      <c r="H20" s="13"/>
      <c r="I20" s="13"/>
      <c r="J20" s="15"/>
      <c r="K20" s="13"/>
      <c r="L20" s="13"/>
      <c r="M20" s="13"/>
      <c r="N20" s="13"/>
      <c r="O20" s="13"/>
      <c r="P20" s="41"/>
      <c r="Q20" s="41"/>
      <c r="R20" s="13"/>
      <c r="S20" s="13"/>
      <c r="T20" s="29">
        <f>H20+I20+J20+K20+L20+M20+N20+O20+P20+Q20+R20+S20</f>
        <v>0</v>
      </c>
    </row>
    <row r="21" spans="1:20" ht="12.75">
      <c r="A21" s="13">
        <v>5</v>
      </c>
      <c r="B21" s="68" t="s">
        <v>136</v>
      </c>
      <c r="C21" s="17"/>
      <c r="D21" s="17"/>
      <c r="E21" s="17"/>
      <c r="F21" s="119">
        <v>70000</v>
      </c>
      <c r="G21" s="120"/>
      <c r="H21" s="13"/>
      <c r="I21" s="13"/>
      <c r="J21" s="15"/>
      <c r="K21" s="13"/>
      <c r="L21" s="13"/>
      <c r="M21" s="13"/>
      <c r="N21" s="13"/>
      <c r="O21" s="13"/>
      <c r="P21" s="41"/>
      <c r="Q21" s="41"/>
      <c r="R21" s="13"/>
      <c r="S21" s="13"/>
      <c r="T21" s="29">
        <f>H21+I21+J21+K21+L21+M21+N21+O21+P21+Q21+R21+S21</f>
        <v>0</v>
      </c>
    </row>
    <row r="22" spans="1:20" ht="12.75" hidden="1">
      <c r="A22" s="13">
        <v>6</v>
      </c>
      <c r="B22" s="114" t="s">
        <v>145</v>
      </c>
      <c r="C22" s="114"/>
      <c r="D22" s="114"/>
      <c r="E22" s="114"/>
      <c r="F22" s="110"/>
      <c r="G22" s="110"/>
      <c r="H22" s="13"/>
      <c r="I22" s="13"/>
      <c r="J22" s="15"/>
      <c r="K22" s="13"/>
      <c r="L22" s="13"/>
      <c r="M22" s="13"/>
      <c r="N22" s="13"/>
      <c r="O22" s="13"/>
      <c r="P22" s="41"/>
      <c r="Q22" s="41"/>
      <c r="R22" s="13"/>
      <c r="S22" s="13"/>
      <c r="T22" s="29"/>
    </row>
    <row r="23" spans="1:20" ht="12.75" hidden="1">
      <c r="A23" s="13">
        <v>6</v>
      </c>
      <c r="B23" s="17" t="s">
        <v>27</v>
      </c>
      <c r="C23" s="17"/>
      <c r="D23" s="17"/>
      <c r="E23" s="17"/>
      <c r="F23" s="18"/>
      <c r="G23" s="18"/>
      <c r="H23" s="13"/>
      <c r="I23" s="13"/>
      <c r="J23" s="15"/>
      <c r="K23" s="13"/>
      <c r="L23" s="13"/>
      <c r="M23" s="13"/>
      <c r="N23" s="13"/>
      <c r="O23" s="13"/>
      <c r="P23" s="41"/>
      <c r="Q23" s="41"/>
      <c r="R23" s="13"/>
      <c r="S23" s="13"/>
      <c r="T23" s="29"/>
    </row>
    <row r="24" spans="1:20" ht="12.75">
      <c r="A24" s="13">
        <v>6</v>
      </c>
      <c r="B24" s="115" t="s">
        <v>5</v>
      </c>
      <c r="C24" s="115"/>
      <c r="D24" s="115"/>
      <c r="E24" s="115"/>
      <c r="F24" s="110">
        <v>20000</v>
      </c>
      <c r="G24" s="110"/>
      <c r="H24" s="13"/>
      <c r="I24" s="13"/>
      <c r="J24" s="15"/>
      <c r="K24" s="13"/>
      <c r="L24" s="13"/>
      <c r="M24" s="13"/>
      <c r="N24" s="13"/>
      <c r="O24" s="41"/>
      <c r="P24" s="41"/>
      <c r="Q24" s="41"/>
      <c r="R24" s="13"/>
      <c r="S24" s="13"/>
      <c r="T24" s="29">
        <f>H24+I24+J24+K24+L24+M24+N24+O24+P24+Q24+R24+S24</f>
        <v>0</v>
      </c>
    </row>
    <row r="25" spans="1:20" ht="12.75" hidden="1">
      <c r="A25" s="13">
        <v>7</v>
      </c>
      <c r="B25" s="115" t="s">
        <v>162</v>
      </c>
      <c r="C25" s="115"/>
      <c r="D25" s="115"/>
      <c r="E25" s="115"/>
      <c r="F25" s="110">
        <v>0</v>
      </c>
      <c r="G25" s="110"/>
      <c r="H25" s="13"/>
      <c r="I25" s="13"/>
      <c r="J25" s="15"/>
      <c r="K25" s="13"/>
      <c r="L25" s="13"/>
      <c r="M25" s="13"/>
      <c r="N25" s="13"/>
      <c r="O25" s="13"/>
      <c r="P25" s="41"/>
      <c r="Q25" s="41"/>
      <c r="R25" s="13"/>
      <c r="S25" s="13"/>
      <c r="T25" s="29">
        <f>H25+I25+J25+K25+L25+M25+N25+O25+P25+Q25+R25+S25</f>
        <v>0</v>
      </c>
    </row>
    <row r="26" spans="1:20" ht="12.75">
      <c r="A26" s="13"/>
      <c r="B26" s="19"/>
      <c r="C26" s="19"/>
      <c r="D26" s="19"/>
      <c r="E26" s="19"/>
      <c r="F26" s="110"/>
      <c r="G26" s="110"/>
      <c r="H26" s="13"/>
      <c r="I26" s="13"/>
      <c r="J26" s="20"/>
      <c r="K26" s="13"/>
      <c r="L26" s="13"/>
      <c r="M26" s="13"/>
      <c r="N26" s="13"/>
      <c r="O26" s="13"/>
      <c r="P26" s="41"/>
      <c r="Q26" s="41"/>
      <c r="R26" s="13"/>
      <c r="S26" s="13"/>
      <c r="T26" s="29"/>
    </row>
    <row r="27" spans="1:20" ht="12.75">
      <c r="A27" s="74"/>
      <c r="B27" s="124" t="s">
        <v>6</v>
      </c>
      <c r="C27" s="124"/>
      <c r="D27" s="124"/>
      <c r="E27" s="124"/>
      <c r="F27" s="125">
        <f>SUM(F17:F25)</f>
        <v>4415400</v>
      </c>
      <c r="G27" s="12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6">
        <f>H27+I27+J27+K27+L27+M27+N27+O27+P27+Q27+R27+S27</f>
        <v>0</v>
      </c>
    </row>
    <row r="28" spans="1:20" ht="12.75">
      <c r="A28" s="13"/>
      <c r="B28" s="13" t="s">
        <v>99</v>
      </c>
      <c r="C28" s="13"/>
      <c r="D28" s="13"/>
      <c r="E28" s="13"/>
      <c r="F28" s="14"/>
      <c r="G28" s="14"/>
      <c r="H28" s="13"/>
      <c r="I28" s="13"/>
      <c r="J28" s="20"/>
      <c r="K28" s="13"/>
      <c r="L28" s="13"/>
      <c r="M28" s="13"/>
      <c r="N28" s="13"/>
      <c r="O28" s="41"/>
      <c r="P28" s="41"/>
      <c r="Q28" s="41"/>
      <c r="R28" s="13"/>
      <c r="S28" s="41"/>
      <c r="T28" s="76">
        <f>H28+I28+J28+K28+L28+M28+N28+O28+P28+Q28+R28+S28</f>
        <v>0</v>
      </c>
    </row>
    <row r="29" spans="1:20" s="107" customFormat="1" ht="17.25">
      <c r="A29" s="221"/>
      <c r="B29" s="221"/>
      <c r="C29" s="221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</row>
    <row r="30" spans="1:20" ht="12.75">
      <c r="A30" s="13"/>
      <c r="B30" s="13"/>
      <c r="C30" s="13"/>
      <c r="D30" s="13"/>
      <c r="E30" s="13"/>
      <c r="F30" s="14"/>
      <c r="G30" s="14"/>
      <c r="H30" s="13"/>
      <c r="I30" s="13"/>
      <c r="J30" s="20"/>
      <c r="K30" s="13"/>
      <c r="L30" s="13"/>
      <c r="M30" s="13"/>
      <c r="N30" s="13"/>
      <c r="O30" s="13"/>
      <c r="P30" s="13"/>
      <c r="Q30" s="13"/>
      <c r="R30" s="13"/>
      <c r="S30" s="13"/>
      <c r="T30" s="16"/>
    </row>
    <row r="31" spans="1:20" ht="12.75">
      <c r="A31" s="43" t="s">
        <v>100</v>
      </c>
      <c r="B31" s="126" t="s">
        <v>137</v>
      </c>
      <c r="C31" s="127"/>
      <c r="D31" s="127"/>
      <c r="E31" s="127"/>
      <c r="F31"/>
      <c r="G31"/>
      <c r="T31"/>
    </row>
    <row r="32" spans="1:20" ht="12.75">
      <c r="A32" s="13"/>
      <c r="B32" s="13"/>
      <c r="C32" s="13"/>
      <c r="D32" s="13"/>
      <c r="E32" s="13"/>
      <c r="F32" s="14"/>
      <c r="G32" s="14"/>
      <c r="H32" s="13"/>
      <c r="I32" s="13"/>
      <c r="J32" s="20"/>
      <c r="K32" s="13"/>
      <c r="L32" s="13"/>
      <c r="M32" s="13"/>
      <c r="N32" s="13"/>
      <c r="O32" s="13"/>
      <c r="P32" s="13"/>
      <c r="Q32" s="13"/>
      <c r="R32" s="13"/>
      <c r="S32" s="13"/>
      <c r="T32" s="16"/>
    </row>
    <row r="33" spans="1:20" ht="12.75">
      <c r="A33" s="13"/>
      <c r="B33" s="13"/>
      <c r="C33" s="13"/>
      <c r="D33" s="13"/>
      <c r="E33" s="13"/>
      <c r="F33" s="14"/>
      <c r="G33" s="14"/>
      <c r="H33" s="13"/>
      <c r="I33" s="13"/>
      <c r="J33" s="20"/>
      <c r="K33" s="13"/>
      <c r="L33" s="13"/>
      <c r="M33" s="13"/>
      <c r="N33" s="13"/>
      <c r="O33" s="13"/>
      <c r="P33" s="13"/>
      <c r="Q33" s="13"/>
      <c r="R33" s="13"/>
      <c r="S33" s="13"/>
      <c r="T33" s="16"/>
    </row>
    <row r="34" spans="1:20" ht="12.75">
      <c r="A34" s="14">
        <v>1</v>
      </c>
      <c r="B34" s="128" t="s">
        <v>101</v>
      </c>
      <c r="C34" s="129"/>
      <c r="D34" s="129"/>
      <c r="E34" s="130"/>
      <c r="F34" s="14"/>
      <c r="G34" s="14"/>
      <c r="H34" s="13"/>
      <c r="I34" s="13"/>
      <c r="J34" s="20"/>
      <c r="K34" s="13"/>
      <c r="L34" s="13"/>
      <c r="M34" s="13"/>
      <c r="N34" s="13"/>
      <c r="O34" s="13"/>
      <c r="P34" s="13"/>
      <c r="Q34" s="13"/>
      <c r="R34" s="13"/>
      <c r="S34" s="13"/>
      <c r="T34" s="16"/>
    </row>
    <row r="35" spans="1:20" ht="12.75">
      <c r="A35" s="44">
        <v>1.1</v>
      </c>
      <c r="B35" s="114" t="s">
        <v>102</v>
      </c>
      <c r="C35" s="114"/>
      <c r="D35" s="114"/>
      <c r="E35" s="114"/>
      <c r="F35" s="110">
        <v>313200</v>
      </c>
      <c r="G35" s="110"/>
      <c r="H35" s="20"/>
      <c r="I35" s="20"/>
      <c r="J35" s="20"/>
      <c r="K35" s="32"/>
      <c r="L35" s="20"/>
      <c r="M35" s="20"/>
      <c r="N35" s="20"/>
      <c r="O35" s="20"/>
      <c r="P35" s="20"/>
      <c r="Q35" s="20"/>
      <c r="R35" s="20"/>
      <c r="S35" s="20"/>
      <c r="T35" s="29">
        <f aca="true" t="shared" si="0" ref="T35:T42">H35+I35+J35+K35+L35+M35+N35+O35+P35+Q35+R35+S35</f>
        <v>0</v>
      </c>
    </row>
    <row r="36" spans="1:20" ht="12.75">
      <c r="A36" s="13">
        <v>1.2</v>
      </c>
      <c r="B36" s="17" t="s">
        <v>103</v>
      </c>
      <c r="C36" s="17"/>
      <c r="D36" s="17"/>
      <c r="E36" s="17"/>
      <c r="F36" s="110">
        <v>372000</v>
      </c>
      <c r="G36" s="109"/>
      <c r="H36" s="13"/>
      <c r="I36" s="13"/>
      <c r="J36" s="15"/>
      <c r="K36" s="22"/>
      <c r="L36" s="13"/>
      <c r="M36" s="13"/>
      <c r="N36" s="13"/>
      <c r="O36" s="13"/>
      <c r="P36" s="13"/>
      <c r="Q36" s="13"/>
      <c r="R36" s="13"/>
      <c r="S36" s="13"/>
      <c r="T36" s="29">
        <f t="shared" si="0"/>
        <v>0</v>
      </c>
    </row>
    <row r="37" spans="1:20" ht="12.75">
      <c r="A37" s="13">
        <v>1.3</v>
      </c>
      <c r="B37" s="114" t="s">
        <v>104</v>
      </c>
      <c r="C37" s="114"/>
      <c r="D37" s="114"/>
      <c r="E37" s="114"/>
      <c r="F37" s="110">
        <v>210000</v>
      </c>
      <c r="G37" s="11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9">
        <f t="shared" si="0"/>
        <v>0</v>
      </c>
    </row>
    <row r="38" spans="1:20" ht="12.75">
      <c r="A38" s="13">
        <v>1.4</v>
      </c>
      <c r="B38" s="114" t="s">
        <v>48</v>
      </c>
      <c r="C38" s="114"/>
      <c r="D38" s="114"/>
      <c r="E38" s="114"/>
      <c r="F38" s="110">
        <v>25000</v>
      </c>
      <c r="G38" s="11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9">
        <f t="shared" si="0"/>
        <v>0</v>
      </c>
    </row>
    <row r="39" spans="1:20" ht="12.75">
      <c r="A39" s="13">
        <v>1.5</v>
      </c>
      <c r="B39" s="115" t="s">
        <v>13</v>
      </c>
      <c r="C39" s="115"/>
      <c r="D39" s="115"/>
      <c r="E39" s="115"/>
      <c r="F39" s="110">
        <v>70000</v>
      </c>
      <c r="G39" s="110"/>
      <c r="H39" s="13"/>
      <c r="I39" s="13"/>
      <c r="J39" s="20"/>
      <c r="K39" s="20"/>
      <c r="L39" s="13"/>
      <c r="M39" s="13"/>
      <c r="N39" s="13"/>
      <c r="O39" s="13"/>
      <c r="P39" s="13"/>
      <c r="Q39" s="13"/>
      <c r="R39" s="13"/>
      <c r="S39" s="13"/>
      <c r="T39" s="29">
        <f t="shared" si="0"/>
        <v>0</v>
      </c>
    </row>
    <row r="40" spans="1:20" ht="12.75">
      <c r="A40" s="13">
        <v>1.6</v>
      </c>
      <c r="B40" s="115" t="s">
        <v>221</v>
      </c>
      <c r="C40" s="115"/>
      <c r="D40" s="115"/>
      <c r="E40" s="115"/>
      <c r="F40" s="110">
        <v>25000</v>
      </c>
      <c r="G40" s="110"/>
      <c r="H40" s="13"/>
      <c r="I40" s="13"/>
      <c r="J40" s="15"/>
      <c r="K40" s="20"/>
      <c r="L40" s="20"/>
      <c r="M40" s="20"/>
      <c r="N40" s="20"/>
      <c r="O40" s="20"/>
      <c r="P40" s="20"/>
      <c r="Q40" s="20"/>
      <c r="R40" s="20"/>
      <c r="S40" s="20"/>
      <c r="T40" s="29">
        <f t="shared" si="0"/>
        <v>0</v>
      </c>
    </row>
    <row r="41" spans="1:20" ht="12.75">
      <c r="A41" s="13">
        <v>1.7</v>
      </c>
      <c r="B41" s="115" t="s">
        <v>106</v>
      </c>
      <c r="C41" s="115"/>
      <c r="D41" s="115"/>
      <c r="E41" s="115"/>
      <c r="F41" s="110">
        <v>20000</v>
      </c>
      <c r="G41" s="11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9">
        <f t="shared" si="0"/>
        <v>0</v>
      </c>
    </row>
    <row r="42" spans="1:20" ht="12.75">
      <c r="A42" s="41"/>
      <c r="B42" s="19"/>
      <c r="C42" s="19"/>
      <c r="D42" s="19"/>
      <c r="E42" s="19"/>
      <c r="F42" s="42"/>
      <c r="G42" s="42"/>
      <c r="H42" s="20"/>
      <c r="I42" s="13"/>
      <c r="J42" s="20"/>
      <c r="K42" s="20"/>
      <c r="L42" s="20"/>
      <c r="M42" s="20"/>
      <c r="N42" s="20"/>
      <c r="O42" s="20"/>
      <c r="P42" s="20"/>
      <c r="Q42" s="13"/>
      <c r="R42" s="20"/>
      <c r="S42" s="20"/>
      <c r="T42" s="29">
        <f t="shared" si="0"/>
        <v>0</v>
      </c>
    </row>
    <row r="43" spans="1:21" ht="12.75">
      <c r="A43" s="77"/>
      <c r="B43" s="48" t="s">
        <v>6</v>
      </c>
      <c r="C43" s="49"/>
      <c r="D43" s="49"/>
      <c r="E43" s="49"/>
      <c r="F43" s="131">
        <f>SUM(F35:F42)</f>
        <v>1035200</v>
      </c>
      <c r="G43" s="132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6">
        <f>H43+I43+J43+K43+L43+M43+N43+O43+P43+Q43+R43+S43</f>
        <v>0</v>
      </c>
      <c r="U43" s="2"/>
    </row>
    <row r="44" spans="1:20" ht="12.75">
      <c r="A44" s="41"/>
      <c r="B44" s="19"/>
      <c r="C44" s="19"/>
      <c r="D44" s="19"/>
      <c r="E44" s="19"/>
      <c r="F44" s="42"/>
      <c r="G44" s="42"/>
      <c r="H44" s="20"/>
      <c r="I44" s="13"/>
      <c r="J44" s="20"/>
      <c r="K44" s="20"/>
      <c r="L44" s="20"/>
      <c r="M44" s="20"/>
      <c r="N44" s="20"/>
      <c r="O44" s="20"/>
      <c r="P44" s="20"/>
      <c r="Q44" s="13"/>
      <c r="R44" s="20"/>
      <c r="S44" s="20"/>
      <c r="T44" s="29"/>
    </row>
    <row r="45" spans="1:20" ht="12.75">
      <c r="A45" s="13"/>
      <c r="B45" s="115"/>
      <c r="C45" s="115"/>
      <c r="D45" s="115"/>
      <c r="E45" s="115"/>
      <c r="F45" s="117"/>
      <c r="G45" s="117"/>
      <c r="H45" s="20"/>
      <c r="I45" s="13"/>
      <c r="J45" s="15"/>
      <c r="K45" s="23"/>
      <c r="L45" s="13"/>
      <c r="M45" s="13"/>
      <c r="N45" s="13"/>
      <c r="O45" s="13"/>
      <c r="P45" s="20"/>
      <c r="Q45" s="13"/>
      <c r="R45" s="13"/>
      <c r="S45" s="13"/>
      <c r="T45" s="29" t="s">
        <v>73</v>
      </c>
    </row>
    <row r="46" spans="1:20" ht="12.75">
      <c r="A46" s="45">
        <v>2</v>
      </c>
      <c r="B46" s="133" t="s">
        <v>195</v>
      </c>
      <c r="C46" s="133"/>
      <c r="D46" s="133"/>
      <c r="E46" s="133"/>
      <c r="F46" s="117"/>
      <c r="G46" s="117"/>
      <c r="H46" s="13"/>
      <c r="I46" s="13"/>
      <c r="J46" s="15"/>
      <c r="K46" s="23"/>
      <c r="L46" s="13"/>
      <c r="M46" s="20"/>
      <c r="N46" s="32"/>
      <c r="O46" s="32"/>
      <c r="P46" s="13"/>
      <c r="Q46" s="13"/>
      <c r="R46" s="13"/>
      <c r="S46" s="13"/>
      <c r="T46" s="29" t="s">
        <v>73</v>
      </c>
    </row>
    <row r="47" spans="1:20" ht="12.75">
      <c r="A47" s="13">
        <v>2.1</v>
      </c>
      <c r="B47" s="115" t="s">
        <v>109</v>
      </c>
      <c r="C47" s="115"/>
      <c r="D47" s="115"/>
      <c r="E47" s="115"/>
      <c r="F47" s="110">
        <v>640000</v>
      </c>
      <c r="G47" s="110"/>
      <c r="H47" s="13"/>
      <c r="I47" s="13"/>
      <c r="J47" s="15"/>
      <c r="K47" s="23"/>
      <c r="L47" s="13"/>
      <c r="M47" s="20"/>
      <c r="N47" s="13"/>
      <c r="O47" s="13"/>
      <c r="P47" s="13"/>
      <c r="Q47" s="13"/>
      <c r="R47" s="13"/>
      <c r="S47" s="13"/>
      <c r="T47" s="29">
        <f aca="true" t="shared" si="1" ref="T47:T63">H47+I47+J47+K47+L47+M47+N47+O47+P47+Q47+R47+S47</f>
        <v>0</v>
      </c>
    </row>
    <row r="48" spans="1:20" ht="12.75">
      <c r="A48" s="13">
        <v>2.2</v>
      </c>
      <c r="B48" s="115" t="s">
        <v>104</v>
      </c>
      <c r="C48" s="115"/>
      <c r="D48" s="115"/>
      <c r="E48" s="115"/>
      <c r="F48" s="117">
        <v>190000</v>
      </c>
      <c r="G48" s="117"/>
      <c r="H48" s="13"/>
      <c r="I48" s="13"/>
      <c r="J48" s="15"/>
      <c r="K48" s="23"/>
      <c r="L48" s="13"/>
      <c r="M48" s="13"/>
      <c r="N48" s="13"/>
      <c r="O48" s="13"/>
      <c r="P48" s="13"/>
      <c r="Q48" s="13"/>
      <c r="R48" s="13"/>
      <c r="S48" s="13"/>
      <c r="T48" s="29">
        <f t="shared" si="1"/>
        <v>0</v>
      </c>
    </row>
    <row r="49" spans="1:20" ht="12.75">
      <c r="A49" s="13">
        <v>2.3</v>
      </c>
      <c r="B49" s="115" t="s">
        <v>110</v>
      </c>
      <c r="C49" s="115"/>
      <c r="D49" s="115"/>
      <c r="E49" s="115"/>
      <c r="F49" s="110">
        <v>50000</v>
      </c>
      <c r="G49" s="110"/>
      <c r="H49" s="13"/>
      <c r="I49" s="20"/>
      <c r="J49" s="20"/>
      <c r="K49" s="20"/>
      <c r="L49" s="20"/>
      <c r="M49" s="20"/>
      <c r="N49" s="20"/>
      <c r="O49" s="20"/>
      <c r="P49" s="13"/>
      <c r="Q49" s="20"/>
      <c r="R49" s="13"/>
      <c r="S49" s="20"/>
      <c r="T49" s="29">
        <f t="shared" si="1"/>
        <v>0</v>
      </c>
    </row>
    <row r="50" spans="1:20" ht="12.75">
      <c r="A50" s="13">
        <v>2.4</v>
      </c>
      <c r="B50" s="115" t="s">
        <v>111</v>
      </c>
      <c r="C50" s="115"/>
      <c r="D50" s="115"/>
      <c r="E50" s="115"/>
      <c r="F50" s="117">
        <v>30000</v>
      </c>
      <c r="G50" s="117"/>
      <c r="H50" s="13"/>
      <c r="I50" s="13"/>
      <c r="J50" s="15"/>
      <c r="K50" s="23"/>
      <c r="L50" s="13"/>
      <c r="M50" s="13"/>
      <c r="N50" s="13"/>
      <c r="O50" s="13"/>
      <c r="P50" s="13"/>
      <c r="Q50" s="13"/>
      <c r="R50" s="13"/>
      <c r="S50" s="13"/>
      <c r="T50" s="29">
        <f t="shared" si="1"/>
        <v>0</v>
      </c>
    </row>
    <row r="51" spans="1:20" ht="12.75">
      <c r="A51" s="13">
        <v>2.5</v>
      </c>
      <c r="B51" s="134" t="s">
        <v>112</v>
      </c>
      <c r="C51" s="134"/>
      <c r="D51" s="134"/>
      <c r="E51" s="134"/>
      <c r="F51" s="117">
        <v>64000</v>
      </c>
      <c r="G51" s="117"/>
      <c r="H51" s="13"/>
      <c r="I51" s="13"/>
      <c r="J51" s="15"/>
      <c r="K51" s="23"/>
      <c r="L51" s="13"/>
      <c r="M51" s="20"/>
      <c r="N51" s="13"/>
      <c r="O51" s="20"/>
      <c r="P51" s="20"/>
      <c r="Q51" s="13"/>
      <c r="R51" s="13"/>
      <c r="S51" s="13"/>
      <c r="T51" s="29">
        <f t="shared" si="1"/>
        <v>0</v>
      </c>
    </row>
    <row r="52" spans="1:20" ht="12.75">
      <c r="A52" s="13">
        <v>2.6</v>
      </c>
      <c r="B52" s="115" t="s">
        <v>38</v>
      </c>
      <c r="C52" s="115"/>
      <c r="D52" s="115"/>
      <c r="E52" s="115"/>
      <c r="F52" s="110">
        <v>300000</v>
      </c>
      <c r="G52" s="110"/>
      <c r="H52" s="13"/>
      <c r="I52" s="13"/>
      <c r="J52" s="15"/>
      <c r="K52" s="23"/>
      <c r="L52" s="20"/>
      <c r="M52" s="13"/>
      <c r="N52" s="13"/>
      <c r="O52" s="13"/>
      <c r="P52" s="13"/>
      <c r="Q52" s="13"/>
      <c r="R52" s="13"/>
      <c r="S52" s="13"/>
      <c r="T52" s="29">
        <f t="shared" si="1"/>
        <v>0</v>
      </c>
    </row>
    <row r="53" spans="1:20" ht="12.75">
      <c r="A53" s="13">
        <v>2.7</v>
      </c>
      <c r="B53" s="135" t="s">
        <v>222</v>
      </c>
      <c r="C53" s="136"/>
      <c r="D53" s="136"/>
      <c r="E53" s="137"/>
      <c r="F53" s="110">
        <v>31000</v>
      </c>
      <c r="G53" s="109"/>
      <c r="H53" s="20"/>
      <c r="I53" s="20"/>
      <c r="J53" s="15"/>
      <c r="K53" s="20"/>
      <c r="L53" s="13"/>
      <c r="M53" s="20"/>
      <c r="N53" s="20"/>
      <c r="O53" s="20"/>
      <c r="P53" s="20"/>
      <c r="Q53" s="20"/>
      <c r="R53" s="20"/>
      <c r="S53" s="20"/>
      <c r="T53" s="29">
        <f t="shared" si="1"/>
        <v>0</v>
      </c>
    </row>
    <row r="54" spans="1:20" ht="12.75">
      <c r="A54" s="13">
        <v>2.8</v>
      </c>
      <c r="B54" s="19" t="s">
        <v>113</v>
      </c>
      <c r="C54" s="19"/>
      <c r="D54" s="19"/>
      <c r="E54" s="19"/>
      <c r="F54" s="110">
        <v>33000</v>
      </c>
      <c r="G54" s="109"/>
      <c r="H54" s="13"/>
      <c r="I54" s="13"/>
      <c r="J54" s="20"/>
      <c r="K54" s="23"/>
      <c r="L54" s="13"/>
      <c r="M54" s="20"/>
      <c r="N54" s="13"/>
      <c r="O54" s="13"/>
      <c r="P54" s="20"/>
      <c r="Q54" s="13"/>
      <c r="R54" s="13"/>
      <c r="S54" s="20"/>
      <c r="T54" s="29">
        <f t="shared" si="1"/>
        <v>0</v>
      </c>
    </row>
    <row r="55" spans="1:20" ht="12.75">
      <c r="A55" s="13">
        <v>2.9</v>
      </c>
      <c r="B55" s="135" t="s">
        <v>196</v>
      </c>
      <c r="C55" s="138"/>
      <c r="D55" s="138"/>
      <c r="E55" s="139"/>
      <c r="F55" s="119">
        <v>40000</v>
      </c>
      <c r="G55" s="139"/>
      <c r="H55" s="13"/>
      <c r="I55" s="13"/>
      <c r="J55" s="20"/>
      <c r="K55" s="23"/>
      <c r="L55" s="13"/>
      <c r="M55" s="20"/>
      <c r="N55" s="13"/>
      <c r="O55" s="13"/>
      <c r="P55" s="20"/>
      <c r="Q55" s="13"/>
      <c r="R55" s="13"/>
      <c r="S55" s="20"/>
      <c r="T55" s="29">
        <f t="shared" si="1"/>
        <v>0</v>
      </c>
    </row>
    <row r="56" spans="1:20" ht="12.75">
      <c r="A56" s="41">
        <v>2.1</v>
      </c>
      <c r="B56" s="135" t="s">
        <v>223</v>
      </c>
      <c r="C56" s="138"/>
      <c r="D56" s="138"/>
      <c r="E56" s="139"/>
      <c r="F56" s="119">
        <v>26000</v>
      </c>
      <c r="G56" s="139"/>
      <c r="H56" s="13"/>
      <c r="I56" s="13"/>
      <c r="J56" s="20"/>
      <c r="K56" s="23"/>
      <c r="L56" s="13"/>
      <c r="M56" s="20"/>
      <c r="N56" s="13"/>
      <c r="O56" s="13"/>
      <c r="P56" s="20"/>
      <c r="Q56" s="13"/>
      <c r="R56" s="13"/>
      <c r="S56" s="20"/>
      <c r="T56" s="29">
        <f t="shared" si="1"/>
        <v>0</v>
      </c>
    </row>
    <row r="57" spans="1:20" ht="12.75">
      <c r="A57" s="13">
        <v>2.11</v>
      </c>
      <c r="B57" s="135" t="s">
        <v>92</v>
      </c>
      <c r="C57" s="138"/>
      <c r="D57" s="138"/>
      <c r="E57" s="139"/>
      <c r="F57" s="119">
        <v>68000</v>
      </c>
      <c r="G57" s="139"/>
      <c r="H57" s="13"/>
      <c r="I57" s="13"/>
      <c r="J57" s="20"/>
      <c r="K57" s="23"/>
      <c r="L57" s="13"/>
      <c r="M57" s="20"/>
      <c r="N57" s="13"/>
      <c r="O57" s="13"/>
      <c r="P57" s="20"/>
      <c r="Q57" s="13"/>
      <c r="R57" s="13"/>
      <c r="S57" s="20"/>
      <c r="T57" s="29">
        <f t="shared" si="1"/>
        <v>0</v>
      </c>
    </row>
    <row r="58" spans="1:20" ht="12.75">
      <c r="A58" s="13">
        <v>2.12</v>
      </c>
      <c r="B58" s="135" t="s">
        <v>197</v>
      </c>
      <c r="C58" s="138"/>
      <c r="D58" s="138"/>
      <c r="E58" s="139"/>
      <c r="F58" s="119">
        <v>45000</v>
      </c>
      <c r="G58" s="139"/>
      <c r="H58" s="13"/>
      <c r="I58" s="13"/>
      <c r="J58" s="20"/>
      <c r="K58" s="23"/>
      <c r="L58" s="13"/>
      <c r="M58" s="20"/>
      <c r="N58" s="13"/>
      <c r="O58" s="13"/>
      <c r="P58" s="20"/>
      <c r="Q58" s="13"/>
      <c r="R58" s="13"/>
      <c r="S58" s="20"/>
      <c r="T58" s="29">
        <f t="shared" si="1"/>
        <v>0</v>
      </c>
    </row>
    <row r="59" spans="1:20" ht="12.75" hidden="1">
      <c r="A59" s="13">
        <v>2.13</v>
      </c>
      <c r="B59" s="37" t="s">
        <v>142</v>
      </c>
      <c r="C59" s="38"/>
      <c r="D59" s="38"/>
      <c r="E59" s="39"/>
      <c r="F59" s="119"/>
      <c r="G59" s="139"/>
      <c r="H59" s="13"/>
      <c r="I59" s="13"/>
      <c r="J59" s="20"/>
      <c r="K59" s="23"/>
      <c r="L59" s="13"/>
      <c r="M59" s="20"/>
      <c r="N59" s="13"/>
      <c r="O59" s="13"/>
      <c r="P59" s="20"/>
      <c r="Q59" s="13"/>
      <c r="R59" s="13"/>
      <c r="S59" s="20"/>
      <c r="T59" s="29">
        <f t="shared" si="1"/>
        <v>0</v>
      </c>
    </row>
    <row r="60" spans="1:20" ht="12.75">
      <c r="A60" s="13">
        <v>2.13</v>
      </c>
      <c r="B60" s="37" t="s">
        <v>138</v>
      </c>
      <c r="C60" s="38"/>
      <c r="D60" s="38"/>
      <c r="E60" s="39"/>
      <c r="F60" s="119">
        <v>71000</v>
      </c>
      <c r="G60" s="139"/>
      <c r="H60" s="13"/>
      <c r="I60" s="13"/>
      <c r="J60" s="20"/>
      <c r="K60" s="23"/>
      <c r="L60" s="13"/>
      <c r="M60" s="20"/>
      <c r="N60" s="13"/>
      <c r="O60" s="13"/>
      <c r="P60" s="20"/>
      <c r="Q60" s="13"/>
      <c r="R60" s="13"/>
      <c r="S60" s="20"/>
      <c r="T60" s="29">
        <f t="shared" si="1"/>
        <v>0</v>
      </c>
    </row>
    <row r="61" spans="1:20" ht="12.75">
      <c r="A61" s="13">
        <v>2.14</v>
      </c>
      <c r="B61" s="37" t="s">
        <v>139</v>
      </c>
      <c r="C61" s="38"/>
      <c r="D61" s="38"/>
      <c r="E61" s="39"/>
      <c r="F61" s="119">
        <v>70000</v>
      </c>
      <c r="G61" s="139"/>
      <c r="H61" s="13"/>
      <c r="I61" s="13"/>
      <c r="J61" s="20"/>
      <c r="K61" s="23"/>
      <c r="L61" s="13"/>
      <c r="M61" s="20"/>
      <c r="N61" s="13"/>
      <c r="O61" s="13"/>
      <c r="P61" s="20"/>
      <c r="Q61" s="13"/>
      <c r="R61" s="13"/>
      <c r="S61" s="20"/>
      <c r="T61" s="29">
        <f t="shared" si="1"/>
        <v>0</v>
      </c>
    </row>
    <row r="62" spans="1:20" ht="12.75">
      <c r="A62" s="13">
        <v>2.16</v>
      </c>
      <c r="B62" s="135" t="s">
        <v>224</v>
      </c>
      <c r="C62" s="138"/>
      <c r="D62" s="138"/>
      <c r="E62" s="139"/>
      <c r="F62" s="119">
        <v>70000</v>
      </c>
      <c r="G62" s="139"/>
      <c r="H62" s="13"/>
      <c r="I62" s="13"/>
      <c r="J62" s="20"/>
      <c r="K62" s="23"/>
      <c r="L62" s="13"/>
      <c r="M62" s="20"/>
      <c r="N62" s="13"/>
      <c r="O62" s="13"/>
      <c r="P62" s="20"/>
      <c r="Q62" s="13"/>
      <c r="R62" s="13"/>
      <c r="S62" s="20"/>
      <c r="T62" s="29">
        <f t="shared" si="1"/>
        <v>0</v>
      </c>
    </row>
    <row r="63" spans="1:20" ht="12.75">
      <c r="A63" s="13">
        <v>2.17</v>
      </c>
      <c r="B63" s="37" t="s">
        <v>225</v>
      </c>
      <c r="C63" s="82"/>
      <c r="D63" s="82"/>
      <c r="E63" s="36"/>
      <c r="F63" s="119">
        <v>50000</v>
      </c>
      <c r="G63" s="139"/>
      <c r="H63" s="13"/>
      <c r="I63" s="13"/>
      <c r="J63" s="20"/>
      <c r="K63" s="23"/>
      <c r="L63" s="13"/>
      <c r="M63" s="20"/>
      <c r="N63" s="13"/>
      <c r="O63" s="13"/>
      <c r="P63" s="20"/>
      <c r="Q63" s="13"/>
      <c r="R63" s="13"/>
      <c r="S63" s="20"/>
      <c r="T63" s="29">
        <f t="shared" si="1"/>
        <v>0</v>
      </c>
    </row>
    <row r="64" spans="1:20" ht="12.75">
      <c r="A64" s="74"/>
      <c r="B64" s="140" t="s">
        <v>6</v>
      </c>
      <c r="C64" s="141"/>
      <c r="D64" s="141"/>
      <c r="E64" s="142"/>
      <c r="F64" s="131">
        <f>SUM(F47:F63)</f>
        <v>1778000</v>
      </c>
      <c r="G64" s="13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6">
        <f>SUM(T47:T63)</f>
        <v>0</v>
      </c>
    </row>
    <row r="65" spans="1:20" s="97" customFormat="1" ht="12.75">
      <c r="A65" s="90"/>
      <c r="B65" s="91"/>
      <c r="C65" s="92"/>
      <c r="D65" s="92"/>
      <c r="E65" s="93" t="s">
        <v>95</v>
      </c>
      <c r="F65" s="143">
        <f>F43+F64</f>
        <v>2813200</v>
      </c>
      <c r="G65" s="14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5"/>
      <c r="T65" s="96">
        <f>T43+T64</f>
        <v>0</v>
      </c>
    </row>
    <row r="66" spans="1:20" ht="12.75">
      <c r="A66" s="43" t="s">
        <v>108</v>
      </c>
      <c r="B66" s="37"/>
      <c r="C66" s="38"/>
      <c r="D66" s="38"/>
      <c r="E66" s="39"/>
      <c r="F66" s="35"/>
      <c r="G66" s="36"/>
      <c r="H66" s="13"/>
      <c r="I66" s="13"/>
      <c r="J66" s="20"/>
      <c r="K66" s="23"/>
      <c r="L66" s="13"/>
      <c r="M66" s="20"/>
      <c r="N66" s="13"/>
      <c r="O66" s="13"/>
      <c r="P66" s="20"/>
      <c r="Q66" s="13"/>
      <c r="R66" s="13"/>
      <c r="S66" s="20"/>
      <c r="T66" s="29"/>
    </row>
    <row r="67" spans="1:20" ht="12.75">
      <c r="A67" s="13"/>
      <c r="B67" s="19" t="s">
        <v>93</v>
      </c>
      <c r="C67" s="19"/>
      <c r="D67" s="19"/>
      <c r="E67" s="19"/>
      <c r="F67" s="110">
        <v>30000</v>
      </c>
      <c r="G67" s="109"/>
      <c r="H67" s="13"/>
      <c r="I67" s="13"/>
      <c r="J67" s="15"/>
      <c r="K67" s="23"/>
      <c r="L67" s="13"/>
      <c r="M67" s="13"/>
      <c r="N67" s="13"/>
      <c r="O67" s="13"/>
      <c r="P67" s="13"/>
      <c r="Q67" s="13"/>
      <c r="R67" s="13"/>
      <c r="S67" s="13"/>
      <c r="T67" s="29">
        <f aca="true" t="shared" si="2" ref="T67:T73">H67+I67+J67+K67+L67+M67+N67+O67+P67+Q67+R67+S67</f>
        <v>0</v>
      </c>
    </row>
    <row r="68" spans="1:20" ht="12.75">
      <c r="A68" s="13"/>
      <c r="B68" s="135" t="s">
        <v>226</v>
      </c>
      <c r="C68" s="138"/>
      <c r="D68" s="138"/>
      <c r="E68" s="139"/>
      <c r="F68" s="110">
        <v>500000</v>
      </c>
      <c r="G68" s="109"/>
      <c r="H68" s="13"/>
      <c r="I68" s="13"/>
      <c r="J68" s="15"/>
      <c r="K68" s="23"/>
      <c r="L68" s="13"/>
      <c r="M68" s="13"/>
      <c r="N68" s="13"/>
      <c r="O68" s="20"/>
      <c r="P68" s="13"/>
      <c r="Q68" s="13"/>
      <c r="R68" s="20"/>
      <c r="S68" s="13"/>
      <c r="T68" s="29">
        <f t="shared" si="2"/>
        <v>0</v>
      </c>
    </row>
    <row r="69" spans="1:20" ht="12.75">
      <c r="A69" s="13"/>
      <c r="B69" s="135" t="s">
        <v>229</v>
      </c>
      <c r="C69" s="138"/>
      <c r="D69" s="138"/>
      <c r="E69" s="139"/>
      <c r="F69" s="110">
        <v>35000</v>
      </c>
      <c r="G69" s="109"/>
      <c r="H69" s="20"/>
      <c r="I69" s="20"/>
      <c r="J69" s="20"/>
      <c r="K69" s="20"/>
      <c r="L69" s="20"/>
      <c r="M69" s="20"/>
      <c r="N69" s="20"/>
      <c r="O69" s="20"/>
      <c r="P69" s="13"/>
      <c r="Q69" s="20"/>
      <c r="R69" s="20"/>
      <c r="S69" s="20"/>
      <c r="T69" s="29">
        <f t="shared" si="2"/>
        <v>0</v>
      </c>
    </row>
    <row r="70" spans="1:20" ht="12.75">
      <c r="A70" s="13"/>
      <c r="B70" s="37" t="s">
        <v>14</v>
      </c>
      <c r="C70" s="38"/>
      <c r="D70" s="38"/>
      <c r="E70" s="39"/>
      <c r="F70" s="119">
        <v>35000</v>
      </c>
      <c r="G70" s="139"/>
      <c r="H70" s="20"/>
      <c r="I70" s="20"/>
      <c r="J70" s="20"/>
      <c r="K70" s="20"/>
      <c r="L70" s="20"/>
      <c r="M70" s="20"/>
      <c r="N70" s="20"/>
      <c r="O70" s="20"/>
      <c r="P70" s="13"/>
      <c r="Q70" s="20"/>
      <c r="R70" s="20"/>
      <c r="S70" s="20"/>
      <c r="T70" s="29">
        <f t="shared" si="2"/>
        <v>0</v>
      </c>
    </row>
    <row r="71" spans="1:20" ht="12.75">
      <c r="A71" s="13"/>
      <c r="B71" s="135" t="s">
        <v>227</v>
      </c>
      <c r="C71" s="136"/>
      <c r="D71" s="136"/>
      <c r="E71" s="137"/>
      <c r="F71" s="119">
        <v>15000</v>
      </c>
      <c r="G71" s="139"/>
      <c r="H71" s="20"/>
      <c r="I71" s="20"/>
      <c r="J71" s="20"/>
      <c r="K71" s="20"/>
      <c r="L71" s="20"/>
      <c r="M71" s="20"/>
      <c r="N71" s="20"/>
      <c r="O71" s="20"/>
      <c r="P71" s="13"/>
      <c r="Q71" s="20"/>
      <c r="R71" s="20"/>
      <c r="S71" s="20"/>
      <c r="T71" s="29">
        <f t="shared" si="2"/>
        <v>0</v>
      </c>
    </row>
    <row r="72" spans="1:20" ht="12.75">
      <c r="A72" s="13"/>
      <c r="B72" s="214" t="s">
        <v>198</v>
      </c>
      <c r="C72" s="215"/>
      <c r="D72" s="215"/>
      <c r="E72" s="216"/>
      <c r="F72" s="217">
        <v>25000</v>
      </c>
      <c r="G72" s="218"/>
      <c r="H72" s="20"/>
      <c r="I72" s="20"/>
      <c r="J72" s="20"/>
      <c r="K72" s="20"/>
      <c r="L72" s="20"/>
      <c r="M72" s="20"/>
      <c r="N72" s="20"/>
      <c r="O72" s="20"/>
      <c r="P72" s="13"/>
      <c r="Q72" s="20"/>
      <c r="R72" s="20"/>
      <c r="S72" s="20"/>
      <c r="T72" s="29">
        <f t="shared" si="2"/>
        <v>0</v>
      </c>
    </row>
    <row r="73" spans="1:20" ht="12.75">
      <c r="A73" s="13"/>
      <c r="B73" s="135" t="s">
        <v>228</v>
      </c>
      <c r="C73" s="138"/>
      <c r="D73" s="138"/>
      <c r="E73" s="138"/>
      <c r="F73" s="119">
        <v>73000</v>
      </c>
      <c r="G73" s="120"/>
      <c r="H73" s="20"/>
      <c r="I73" s="20"/>
      <c r="J73" s="20"/>
      <c r="K73" s="20"/>
      <c r="L73" s="20"/>
      <c r="M73" s="20"/>
      <c r="N73" s="20"/>
      <c r="O73" s="20"/>
      <c r="P73" s="13"/>
      <c r="Q73" s="20"/>
      <c r="R73" s="20"/>
      <c r="S73" s="20"/>
      <c r="T73" s="29">
        <f t="shared" si="2"/>
        <v>0</v>
      </c>
    </row>
    <row r="74" spans="1:20" ht="12.75">
      <c r="A74" s="78"/>
      <c r="B74" s="219" t="s">
        <v>6</v>
      </c>
      <c r="C74" s="219"/>
      <c r="D74" s="219"/>
      <c r="E74" s="219"/>
      <c r="F74" s="220">
        <f>SUM(F67:F73)</f>
        <v>713000</v>
      </c>
      <c r="G74" s="219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6">
        <f>SUM(T67:T73)</f>
        <v>0</v>
      </c>
    </row>
    <row r="75" spans="1:20" ht="12.75">
      <c r="A75" s="13"/>
      <c r="B75" s="13"/>
      <c r="C75" s="13"/>
      <c r="D75" s="13"/>
      <c r="E75" s="13"/>
      <c r="F75" s="14"/>
      <c r="G75" s="14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29"/>
    </row>
    <row r="76" spans="1:20" ht="12.75">
      <c r="A76" s="13"/>
      <c r="B76" s="13"/>
      <c r="C76" s="13"/>
      <c r="D76" s="13"/>
      <c r="E76" s="13"/>
      <c r="F76" s="14"/>
      <c r="G76" s="14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29"/>
    </row>
    <row r="77" spans="1:20" ht="12.75">
      <c r="A77" s="13"/>
      <c r="B77" s="13"/>
      <c r="C77" s="13"/>
      <c r="D77" s="13"/>
      <c r="E77" s="13"/>
      <c r="F77" s="14"/>
      <c r="G77" s="14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9" t="s">
        <v>73</v>
      </c>
    </row>
    <row r="78" spans="1:20" ht="12.75">
      <c r="A78" s="79"/>
      <c r="B78" s="51" t="s">
        <v>95</v>
      </c>
      <c r="C78" s="50"/>
      <c r="D78" s="50"/>
      <c r="E78" s="50"/>
      <c r="F78" s="150">
        <f>F64+F74+F43</f>
        <v>3526200</v>
      </c>
      <c r="G78" s="151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80">
        <f>T64+T74+T43</f>
        <v>0</v>
      </c>
    </row>
    <row r="79" spans="1:20" ht="12.75">
      <c r="A79" s="13"/>
      <c r="B79" s="13"/>
      <c r="C79" s="13"/>
      <c r="D79" s="13"/>
      <c r="E79" s="13"/>
      <c r="F79" s="14"/>
      <c r="G79" s="14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29" t="s">
        <v>73</v>
      </c>
    </row>
    <row r="80" spans="1:20" ht="12.75">
      <c r="A80" s="13"/>
      <c r="B80" s="13"/>
      <c r="C80" s="13"/>
      <c r="D80" s="13"/>
      <c r="E80" s="13"/>
      <c r="F80" s="14"/>
      <c r="G80" s="14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29" t="s">
        <v>73</v>
      </c>
    </row>
    <row r="81" spans="1:20" ht="12.75">
      <c r="A81" s="13"/>
      <c r="B81" s="13" t="s">
        <v>46</v>
      </c>
      <c r="C81" s="13"/>
      <c r="D81" s="13"/>
      <c r="E81" s="13"/>
      <c r="F81" s="152" t="s">
        <v>41</v>
      </c>
      <c r="G81" s="15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29" t="s">
        <v>73</v>
      </c>
    </row>
    <row r="82" spans="1:20" ht="12.75">
      <c r="A82" s="13"/>
      <c r="B82" s="13"/>
      <c r="C82" s="13"/>
      <c r="D82" s="13"/>
      <c r="E82" s="13"/>
      <c r="F82" s="152" t="s">
        <v>47</v>
      </c>
      <c r="G82" s="15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29" t="s">
        <v>73</v>
      </c>
    </row>
    <row r="83" spans="1:20" ht="12.75" hidden="1">
      <c r="A83" s="26"/>
      <c r="B83" s="26"/>
      <c r="C83" s="26"/>
      <c r="D83" s="26"/>
      <c r="E83" s="26"/>
      <c r="F83" s="26"/>
      <c r="G83" s="26"/>
      <c r="H83" s="26">
        <f aca="true" t="shared" si="3" ref="H83:S83">H27-H74</f>
        <v>0</v>
      </c>
      <c r="I83" s="26">
        <f t="shared" si="3"/>
        <v>0</v>
      </c>
      <c r="J83" s="26">
        <f t="shared" si="3"/>
        <v>0</v>
      </c>
      <c r="K83" s="26">
        <f t="shared" si="3"/>
        <v>0</v>
      </c>
      <c r="L83" s="26">
        <f t="shared" si="3"/>
        <v>0</v>
      </c>
      <c r="M83" s="26">
        <f t="shared" si="3"/>
        <v>0</v>
      </c>
      <c r="N83" s="26">
        <f t="shared" si="3"/>
        <v>0</v>
      </c>
      <c r="O83" s="26">
        <f t="shared" si="3"/>
        <v>0</v>
      </c>
      <c r="P83" s="26">
        <f t="shared" si="3"/>
        <v>0</v>
      </c>
      <c r="Q83" s="26">
        <f t="shared" si="3"/>
        <v>0</v>
      </c>
      <c r="R83" s="26">
        <f t="shared" si="3"/>
        <v>0</v>
      </c>
      <c r="S83" s="26">
        <f t="shared" si="3"/>
        <v>0</v>
      </c>
      <c r="T83" s="29">
        <f>H83+I83+J83+K83+L83+M83+N83+O83+P83+Q83+R83+S83</f>
        <v>0</v>
      </c>
    </row>
    <row r="84" spans="5:20" ht="12.75" hidden="1">
      <c r="E84" t="s">
        <v>199</v>
      </c>
      <c r="T84" s="29"/>
    </row>
    <row r="85" spans="2:20" ht="12.75" hidden="1">
      <c r="B85" t="s">
        <v>69</v>
      </c>
      <c r="T85" s="29">
        <f>H85+I85+J85+K85+L85+M85+N85+O85+P85+Q85+R85+S85</f>
        <v>0</v>
      </c>
    </row>
    <row r="86" spans="2:20" ht="12.75" hidden="1">
      <c r="B86" t="s">
        <v>78</v>
      </c>
      <c r="T86" s="29">
        <f aca="true" t="shared" si="4" ref="T86:T112">H86+I86+J86+K86+L86+M86+N86+O86+P86+Q86+R86+S86</f>
        <v>0</v>
      </c>
    </row>
    <row r="87" spans="2:20" ht="12.75" hidden="1">
      <c r="B87" t="s">
        <v>98</v>
      </c>
      <c r="T87" s="29">
        <f t="shared" si="4"/>
        <v>0</v>
      </c>
    </row>
    <row r="88" spans="2:20" ht="12.75" hidden="1">
      <c r="B88" t="s">
        <v>186</v>
      </c>
      <c r="H88" s="1"/>
      <c r="I88" s="1"/>
      <c r="L88" s="1"/>
      <c r="N88" s="1"/>
      <c r="Q88" s="1"/>
      <c r="T88" s="29">
        <f t="shared" si="4"/>
        <v>0</v>
      </c>
    </row>
    <row r="89" spans="2:20" ht="12.75" hidden="1">
      <c r="B89" t="s">
        <v>61</v>
      </c>
      <c r="H89" s="1">
        <f>6223.33+53776.67</f>
        <v>60000</v>
      </c>
      <c r="I89" s="1"/>
      <c r="J89" s="1">
        <f>67480.04+4669.93</f>
        <v>72149.97</v>
      </c>
      <c r="K89" s="1">
        <f>77222.43</f>
        <v>77222.43</v>
      </c>
      <c r="L89" s="1">
        <v>76221.59</v>
      </c>
      <c r="M89" s="1">
        <v>69609.87</v>
      </c>
      <c r="N89" s="1">
        <v>65746.59</v>
      </c>
      <c r="O89" s="1">
        <v>64638.56</v>
      </c>
      <c r="P89" s="1">
        <v>72869.55</v>
      </c>
      <c r="Q89" s="1">
        <v>65987.72</v>
      </c>
      <c r="R89" s="1">
        <v>55062.63</v>
      </c>
      <c r="S89" s="1">
        <v>57293.47</v>
      </c>
      <c r="T89" s="29">
        <f t="shared" si="4"/>
        <v>736802.3799999999</v>
      </c>
    </row>
    <row r="90" spans="2:20" ht="12.75" hidden="1">
      <c r="B90" t="s">
        <v>218</v>
      </c>
      <c r="H90" s="1"/>
      <c r="I90" s="1"/>
      <c r="J90" s="1"/>
      <c r="K90" s="1"/>
      <c r="L90" s="40"/>
      <c r="M90" s="1"/>
      <c r="N90" s="1"/>
      <c r="O90" s="1"/>
      <c r="P90" s="1"/>
      <c r="Q90" s="1"/>
      <c r="R90" s="40">
        <v>297692.67</v>
      </c>
      <c r="S90" s="40">
        <v>441473.08</v>
      </c>
      <c r="T90" s="29">
        <f t="shared" si="4"/>
        <v>739165.75</v>
      </c>
    </row>
    <row r="91" spans="2:20" ht="12.75" hidden="1">
      <c r="B91" t="s">
        <v>63</v>
      </c>
      <c r="H91">
        <v>951.68</v>
      </c>
      <c r="I91" s="1">
        <f>14260.56+1739.44</f>
        <v>16000</v>
      </c>
      <c r="J91" s="1">
        <f>3374.99+13517.11</f>
        <v>16892.1</v>
      </c>
      <c r="K91" s="1">
        <f>15821.66</f>
        <v>15821.66</v>
      </c>
      <c r="L91" s="1">
        <v>15971.78</v>
      </c>
      <c r="M91" s="1">
        <v>15965.87</v>
      </c>
      <c r="N91" s="1">
        <v>15897.9</v>
      </c>
      <c r="O91" s="1">
        <v>13477.3</v>
      </c>
      <c r="P91" s="1">
        <v>13305.38</v>
      </c>
      <c r="Q91" s="1">
        <v>12838.74</v>
      </c>
      <c r="R91" s="1">
        <v>12820.32</v>
      </c>
      <c r="S91" s="1">
        <v>12838.74</v>
      </c>
      <c r="T91" s="29">
        <f t="shared" si="4"/>
        <v>162781.47</v>
      </c>
    </row>
    <row r="92" spans="2:20" ht="12.75" hidden="1">
      <c r="B92" t="s">
        <v>64</v>
      </c>
      <c r="R92" s="1"/>
      <c r="T92" s="29">
        <f t="shared" si="4"/>
        <v>0</v>
      </c>
    </row>
    <row r="93" spans="2:20" ht="12.75" hidden="1">
      <c r="B93" t="s">
        <v>65</v>
      </c>
      <c r="H93" s="1"/>
      <c r="J93" s="1"/>
      <c r="M93" s="1"/>
      <c r="N93" s="1"/>
      <c r="Q93" s="1"/>
      <c r="S93" s="1"/>
      <c r="T93" s="29">
        <f t="shared" si="4"/>
        <v>0</v>
      </c>
    </row>
    <row r="94" spans="2:20" ht="12.75" hidden="1">
      <c r="B94" t="s">
        <v>97</v>
      </c>
      <c r="K94" s="1"/>
      <c r="T94" s="29">
        <f t="shared" si="4"/>
        <v>0</v>
      </c>
    </row>
    <row r="95" spans="2:20" ht="12.75" hidden="1">
      <c r="B95" t="s">
        <v>68</v>
      </c>
      <c r="M95" s="1"/>
      <c r="T95" s="29">
        <f t="shared" si="4"/>
        <v>0</v>
      </c>
    </row>
    <row r="96" spans="2:20" ht="12.75" hidden="1">
      <c r="B96" t="s">
        <v>187</v>
      </c>
      <c r="H96" s="7"/>
      <c r="I96" s="7"/>
      <c r="J96" s="7"/>
      <c r="K96" s="7"/>
      <c r="R96" s="1"/>
      <c r="S96" s="1"/>
      <c r="T96" s="29">
        <f t="shared" si="4"/>
        <v>0</v>
      </c>
    </row>
    <row r="97" spans="2:20" ht="12.75" hidden="1">
      <c r="B97" t="s">
        <v>183</v>
      </c>
      <c r="H97" s="84"/>
      <c r="T97" s="29">
        <f t="shared" si="4"/>
        <v>0</v>
      </c>
    </row>
    <row r="98" spans="1:20" ht="12.75" hidden="1">
      <c r="A98" s="1"/>
      <c r="B98" s="1" t="s">
        <v>121</v>
      </c>
      <c r="C98" s="1"/>
      <c r="D98" s="1"/>
      <c r="E98" s="1"/>
      <c r="F98" s="46"/>
      <c r="G98" s="46"/>
      <c r="H98" s="46"/>
      <c r="I98" s="47"/>
      <c r="J98" s="46"/>
      <c r="K98" s="47"/>
      <c r="L98" s="47"/>
      <c r="M98" s="47"/>
      <c r="N98" s="47"/>
      <c r="O98" s="47"/>
      <c r="P98" s="47"/>
      <c r="Q98" s="47"/>
      <c r="R98" s="47"/>
      <c r="S98" s="47"/>
      <c r="T98" s="29">
        <f t="shared" si="4"/>
        <v>0</v>
      </c>
    </row>
    <row r="99" spans="2:20" ht="12.75" hidden="1">
      <c r="B99" s="12" t="s">
        <v>216</v>
      </c>
      <c r="I99">
        <f>134215.15+72655.2+120944.38+145708.33+76476.94</f>
        <v>550000</v>
      </c>
      <c r="J99">
        <f>283548.04+206778.54</f>
        <v>490326.57999999996</v>
      </c>
      <c r="L99">
        <v>927634.81</v>
      </c>
      <c r="M99">
        <v>237062.55</v>
      </c>
      <c r="N99">
        <v>159716.99</v>
      </c>
      <c r="O99">
        <v>75454.81</v>
      </c>
      <c r="P99">
        <v>122536.3</v>
      </c>
      <c r="Q99">
        <v>163645.44</v>
      </c>
      <c r="T99" s="29">
        <f t="shared" si="4"/>
        <v>2726377.4799999995</v>
      </c>
    </row>
    <row r="100" spans="2:20" ht="12.75" hidden="1">
      <c r="B100" s="12" t="s">
        <v>76</v>
      </c>
      <c r="T100" s="29">
        <f t="shared" si="4"/>
        <v>0</v>
      </c>
    </row>
    <row r="101" spans="2:20" ht="12.75" hidden="1">
      <c r="B101" t="s">
        <v>182</v>
      </c>
      <c r="T101" s="29">
        <f t="shared" si="4"/>
        <v>0</v>
      </c>
    </row>
    <row r="102" spans="2:20" ht="12.75" hidden="1">
      <c r="B102" t="s">
        <v>78</v>
      </c>
      <c r="T102" s="29">
        <f t="shared" si="4"/>
        <v>0</v>
      </c>
    </row>
    <row r="103" spans="2:20" ht="12.75" hidden="1">
      <c r="B103" t="s">
        <v>79</v>
      </c>
      <c r="T103" s="29">
        <f t="shared" si="4"/>
        <v>0</v>
      </c>
    </row>
    <row r="104" spans="2:20" ht="12.75" hidden="1">
      <c r="B104" t="s">
        <v>65</v>
      </c>
      <c r="T104" s="29">
        <f t="shared" si="4"/>
        <v>0</v>
      </c>
    </row>
    <row r="105" spans="2:20" ht="12.75" hidden="1">
      <c r="B105" t="s">
        <v>80</v>
      </c>
      <c r="T105" s="29">
        <f t="shared" si="4"/>
        <v>0</v>
      </c>
    </row>
    <row r="106" spans="2:20" ht="12.75" hidden="1">
      <c r="B106" t="s">
        <v>81</v>
      </c>
      <c r="T106" s="29">
        <f t="shared" si="4"/>
        <v>0</v>
      </c>
    </row>
    <row r="107" spans="2:20" ht="12.75" hidden="1">
      <c r="B107" t="s">
        <v>82</v>
      </c>
      <c r="J107" s="2"/>
      <c r="T107" s="29">
        <f t="shared" si="4"/>
        <v>0</v>
      </c>
    </row>
    <row r="108" spans="2:20" ht="12.75" hidden="1">
      <c r="B108" t="s">
        <v>83</v>
      </c>
      <c r="T108" s="29">
        <f t="shared" si="4"/>
        <v>0</v>
      </c>
    </row>
    <row r="109" spans="2:20" ht="12.75" hidden="1">
      <c r="B109" t="s">
        <v>212</v>
      </c>
      <c r="H109" s="84">
        <f>95000+115000+100000+95000+120000</f>
        <v>525000</v>
      </c>
      <c r="I109">
        <f>125000+120000+159000</f>
        <v>404000</v>
      </c>
      <c r="J109">
        <f>95000+119000+120000+70000+130000+120000</f>
        <v>654000</v>
      </c>
      <c r="K109">
        <f>129000+79000+100000+90000+240000+60000</f>
        <v>698000</v>
      </c>
      <c r="L109">
        <f>170000+160000+80000+100000</f>
        <v>510000</v>
      </c>
      <c r="M109">
        <f>200000+175000+95000+80000</f>
        <v>550000</v>
      </c>
      <c r="N109">
        <f>185000+80000+119000+90000+145000</f>
        <v>619000</v>
      </c>
      <c r="O109">
        <f>120000+115000+135000+105000</f>
        <v>475000</v>
      </c>
      <c r="P109">
        <f>158000+110000+110000+140000+90000</f>
        <v>608000</v>
      </c>
      <c r="Q109">
        <f>171000+194000+125000+90000+179000</f>
        <v>759000</v>
      </c>
      <c r="R109">
        <f>499000</f>
        <v>499000</v>
      </c>
      <c r="S109">
        <v>813000</v>
      </c>
      <c r="T109" s="29">
        <f t="shared" si="4"/>
        <v>7114000</v>
      </c>
    </row>
    <row r="110" spans="2:20" ht="12.75" hidden="1">
      <c r="B110" t="s">
        <v>217</v>
      </c>
      <c r="H110" s="84"/>
      <c r="T110" s="29">
        <f t="shared" si="4"/>
        <v>0</v>
      </c>
    </row>
    <row r="111" spans="2:21" s="85" customFormat="1" ht="12.75" hidden="1">
      <c r="B111" s="85" t="s">
        <v>184</v>
      </c>
      <c r="F111" s="86"/>
      <c r="G111" s="86"/>
      <c r="H111" s="85">
        <f aca="true" t="shared" si="5" ref="H111:S111">H110+H27+H28</f>
        <v>0</v>
      </c>
      <c r="I111" s="85">
        <f t="shared" si="5"/>
        <v>0</v>
      </c>
      <c r="J111" s="85">
        <f t="shared" si="5"/>
        <v>0</v>
      </c>
      <c r="K111" s="85">
        <f t="shared" si="5"/>
        <v>0</v>
      </c>
      <c r="L111" s="85">
        <f t="shared" si="5"/>
        <v>0</v>
      </c>
      <c r="M111" s="85">
        <f t="shared" si="5"/>
        <v>0</v>
      </c>
      <c r="N111" s="85">
        <f t="shared" si="5"/>
        <v>0</v>
      </c>
      <c r="O111" s="85">
        <f t="shared" si="5"/>
        <v>0</v>
      </c>
      <c r="P111" s="85">
        <f t="shared" si="5"/>
        <v>0</v>
      </c>
      <c r="Q111" s="85">
        <f t="shared" si="5"/>
        <v>0</v>
      </c>
      <c r="R111" s="87">
        <f t="shared" si="5"/>
        <v>0</v>
      </c>
      <c r="S111" s="85">
        <f t="shared" si="5"/>
        <v>0</v>
      </c>
      <c r="T111" s="29">
        <f t="shared" si="4"/>
        <v>0</v>
      </c>
      <c r="U111" s="87"/>
    </row>
    <row r="112" spans="1:21" ht="12.75" hidden="1">
      <c r="A112" s="53"/>
      <c r="B112" s="53" t="s">
        <v>185</v>
      </c>
      <c r="C112" s="53"/>
      <c r="D112" s="53"/>
      <c r="E112" s="53"/>
      <c r="F112" s="52"/>
      <c r="G112" s="52"/>
      <c r="H112" s="53">
        <f>H78+H91+H99+H100+H109+H89</f>
        <v>585951.68</v>
      </c>
      <c r="I112" s="89">
        <f>I78+I91+I99+I100+I109</f>
        <v>970000</v>
      </c>
      <c r="J112" s="53">
        <f aca="true" t="shared" si="6" ref="J112:Q112">J78+J91+J99+J100+J109+J89</f>
        <v>1233368.65</v>
      </c>
      <c r="K112" s="53">
        <f t="shared" si="6"/>
        <v>791044.0900000001</v>
      </c>
      <c r="L112" s="53">
        <f t="shared" si="6"/>
        <v>1529828.1800000002</v>
      </c>
      <c r="M112" s="53">
        <f t="shared" si="6"/>
        <v>872638.2899999999</v>
      </c>
      <c r="N112" s="89">
        <f t="shared" si="6"/>
        <v>860361.48</v>
      </c>
      <c r="O112" s="53">
        <f t="shared" si="6"/>
        <v>628570.6699999999</v>
      </c>
      <c r="P112" s="53">
        <f t="shared" si="6"/>
        <v>816711.23</v>
      </c>
      <c r="Q112" s="89">
        <f t="shared" si="6"/>
        <v>1001471.8999999999</v>
      </c>
      <c r="R112" s="89">
        <f>R78+R91+R99+R100+R109+R90+R89</f>
        <v>864575.62</v>
      </c>
      <c r="S112" s="89">
        <f>S78+S91+S99+S100+S109+S89+S90</f>
        <v>1324605.29</v>
      </c>
      <c r="T112" s="29">
        <f t="shared" si="4"/>
        <v>11479127.079999998</v>
      </c>
      <c r="U112" s="88"/>
    </row>
    <row r="113" ht="12.75" hidden="1"/>
    <row r="114" spans="1:20" ht="12.75" hidden="1">
      <c r="A114" s="54"/>
      <c r="B114" s="54" t="s">
        <v>118</v>
      </c>
      <c r="C114" s="54"/>
      <c r="D114" s="54"/>
      <c r="E114" s="54"/>
      <c r="F114" s="54"/>
      <c r="G114" s="54"/>
      <c r="H114" s="54">
        <f>H112-H115-9055</f>
        <v>-55193.55999999994</v>
      </c>
      <c r="I114" s="54">
        <f aca="true" t="shared" si="7" ref="I114:S114">I112-I115</f>
        <v>468135.03</v>
      </c>
      <c r="J114" s="54">
        <f t="shared" si="7"/>
        <v>478129.6499999999</v>
      </c>
      <c r="K114" s="55">
        <v>169608.75</v>
      </c>
      <c r="L114" s="55">
        <v>1178461.56</v>
      </c>
      <c r="M114" s="55">
        <f t="shared" si="7"/>
        <v>221963.33999999997</v>
      </c>
      <c r="N114" s="104">
        <v>353194.39</v>
      </c>
      <c r="O114" s="104">
        <v>293448.69</v>
      </c>
      <c r="P114" s="104">
        <f t="shared" si="7"/>
        <v>98718.08999999997</v>
      </c>
      <c r="Q114" s="104">
        <v>336234.7</v>
      </c>
      <c r="R114" s="104">
        <f t="shared" si="7"/>
        <v>262086.62</v>
      </c>
      <c r="S114" s="104">
        <f t="shared" si="7"/>
        <v>390211.5900000001</v>
      </c>
      <c r="T114" s="29">
        <f>H114+I114+J114+K114+L114+M114+N114+O114+P114+Q114+R114+S114</f>
        <v>4194998.850000001</v>
      </c>
    </row>
    <row r="115" spans="1:20" ht="12.75" hidden="1">
      <c r="A115" s="56" t="s">
        <v>214</v>
      </c>
      <c r="B115" s="56" t="s">
        <v>119</v>
      </c>
      <c r="C115" s="56"/>
      <c r="D115" s="56"/>
      <c r="E115" s="56"/>
      <c r="F115" s="56"/>
      <c r="G115" s="56"/>
      <c r="H115" s="56">
        <f>632090.24</f>
        <v>632090.24</v>
      </c>
      <c r="I115" s="56">
        <f>501864.97</f>
        <v>501864.97</v>
      </c>
      <c r="J115" s="105">
        <f>755239</f>
        <v>755239</v>
      </c>
      <c r="K115" s="105">
        <f>796190</f>
        <v>796190</v>
      </c>
      <c r="L115" s="56">
        <f>636048.18</f>
        <v>636048.18</v>
      </c>
      <c r="M115" s="56">
        <f>650674.95</f>
        <v>650674.95</v>
      </c>
      <c r="N115" s="56">
        <f>726348.29</f>
        <v>726348.29</v>
      </c>
      <c r="O115" s="56">
        <f>603565.25</f>
        <v>603565.25</v>
      </c>
      <c r="P115" s="56">
        <f>717993.14</f>
        <v>717993.14</v>
      </c>
      <c r="Q115" s="105">
        <f>863986</f>
        <v>863986</v>
      </c>
      <c r="R115" s="105">
        <f>602489</f>
        <v>602489</v>
      </c>
      <c r="S115" s="56">
        <f>934393.7</f>
        <v>934393.7</v>
      </c>
      <c r="T115" s="29">
        <f>H115+I115+J115+K115+L115+M115+N115+O115+P115+Q115+R115+S115</f>
        <v>8420882.719999999</v>
      </c>
    </row>
    <row r="116" spans="1:20" ht="12.75" hidden="1">
      <c r="A116" s="7"/>
      <c r="B116" s="7" t="s">
        <v>120</v>
      </c>
      <c r="C116" s="7"/>
      <c r="D116" s="7"/>
      <c r="E116" s="7"/>
      <c r="F116" s="7"/>
      <c r="G116" s="7"/>
      <c r="H116" s="108">
        <v>9055</v>
      </c>
      <c r="I116" s="7"/>
      <c r="J116" s="7"/>
      <c r="K116" s="108">
        <v>10176.5</v>
      </c>
      <c r="L116" s="108">
        <v>11500</v>
      </c>
      <c r="M116" s="7"/>
      <c r="N116" s="108">
        <v>11200</v>
      </c>
      <c r="O116" s="108">
        <v>25171</v>
      </c>
      <c r="P116" s="7"/>
      <c r="Q116" s="108">
        <v>10351</v>
      </c>
      <c r="R116" s="7"/>
      <c r="S116" s="7"/>
      <c r="T116" s="53"/>
    </row>
    <row r="117" ht="12.75" hidden="1"/>
    <row r="118" spans="1:20" ht="12.75" hidden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8"/>
      <c r="L118" s="58"/>
      <c r="M118" s="102"/>
      <c r="N118" s="58"/>
      <c r="O118" s="58"/>
      <c r="P118" s="58"/>
      <c r="Q118" s="58"/>
      <c r="R118" s="58"/>
      <c r="S118" s="58"/>
      <c r="T118" s="29">
        <f>H118+I118+J118+K118+L118+M118+N118+O118+P118+Q118+R118+S118</f>
        <v>0</v>
      </c>
    </row>
    <row r="119" spans="2:7" ht="12.75">
      <c r="B119" s="128" t="s">
        <v>122</v>
      </c>
      <c r="C119" s="129"/>
      <c r="D119" s="60"/>
      <c r="E119" s="100">
        <v>4576.85</v>
      </c>
      <c r="F119" s="109">
        <v>0</v>
      </c>
      <c r="G119" s="114"/>
    </row>
    <row r="120" spans="2:22" ht="12.75">
      <c r="B120" s="128" t="s">
        <v>123</v>
      </c>
      <c r="C120" s="129"/>
      <c r="D120" s="60"/>
      <c r="E120" s="14">
        <v>5773672.61</v>
      </c>
      <c r="F120" s="109">
        <v>0</v>
      </c>
      <c r="G120" s="114"/>
      <c r="V120" s="2"/>
    </row>
    <row r="121" ht="12.75">
      <c r="E121" t="s">
        <v>230</v>
      </c>
    </row>
    <row r="122" ht="12.75" hidden="1"/>
    <row r="123" ht="12.75" hidden="1"/>
    <row r="124" spans="6:20" ht="12.75" hidden="1">
      <c r="F124"/>
      <c r="G124"/>
      <c r="T124"/>
    </row>
    <row r="125" ht="12.75" hidden="1"/>
    <row r="126" spans="4:20" ht="26.25" hidden="1">
      <c r="D126" s="64" t="s">
        <v>129</v>
      </c>
      <c r="E126" s="65" t="s">
        <v>130</v>
      </c>
      <c r="F126" s="66" t="s">
        <v>128</v>
      </c>
      <c r="G126" s="211" t="s">
        <v>131</v>
      </c>
      <c r="H126" s="212"/>
      <c r="I126" s="212"/>
      <c r="J126" s="212"/>
      <c r="K126" s="212"/>
      <c r="L126" s="212"/>
      <c r="M126" s="212"/>
      <c r="N126" s="212"/>
      <c r="O126" s="212"/>
      <c r="P126" s="212"/>
      <c r="Q126" s="212"/>
      <c r="R126" s="212"/>
      <c r="S126" s="212"/>
      <c r="T126" s="213"/>
    </row>
    <row r="127" spans="2:20" ht="12.75" hidden="1">
      <c r="B127" s="128" t="s">
        <v>124</v>
      </c>
      <c r="C127" s="130"/>
      <c r="D127" s="14"/>
      <c r="E127" s="14"/>
      <c r="F127" s="59"/>
      <c r="G127" s="157">
        <f>E127-F127</f>
        <v>0</v>
      </c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9"/>
    </row>
    <row r="128" spans="2:5" ht="12.75" hidden="1">
      <c r="B128" s="6"/>
      <c r="C128" s="6"/>
      <c r="D128" s="6"/>
      <c r="E128" s="6"/>
    </row>
    <row r="129" spans="2:20" ht="12.75" hidden="1">
      <c r="B129" s="128" t="s">
        <v>125</v>
      </c>
      <c r="C129" s="130"/>
      <c r="D129" s="14"/>
      <c r="E129" s="14"/>
      <c r="F129" s="59"/>
      <c r="G129" s="157">
        <f>E129-F129</f>
        <v>0</v>
      </c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8"/>
      <c r="S129" s="138"/>
      <c r="T129" s="139"/>
    </row>
    <row r="130" spans="2:5" ht="12.75" hidden="1">
      <c r="B130" s="6"/>
      <c r="C130" s="6"/>
      <c r="D130" s="6"/>
      <c r="E130" s="6"/>
    </row>
    <row r="131" spans="2:20" ht="12.75" hidden="1">
      <c r="B131" s="128" t="s">
        <v>126</v>
      </c>
      <c r="C131" s="130"/>
      <c r="D131" s="14"/>
      <c r="E131" s="14"/>
      <c r="F131" s="59"/>
      <c r="G131" s="157">
        <f>E131-F131</f>
        <v>0</v>
      </c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9"/>
    </row>
    <row r="132" spans="2:5" ht="12.75" hidden="1">
      <c r="B132" s="6"/>
      <c r="C132" s="6"/>
      <c r="D132" s="6"/>
      <c r="E132" s="6"/>
    </row>
    <row r="133" spans="2:20" ht="12.75" hidden="1">
      <c r="B133" s="128" t="s">
        <v>127</v>
      </c>
      <c r="C133" s="130"/>
      <c r="D133" s="14"/>
      <c r="E133" s="14"/>
      <c r="F133" s="59"/>
      <c r="G133" s="157">
        <f>E133-F133</f>
        <v>0</v>
      </c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8"/>
      <c r="S133" s="138"/>
      <c r="T133" s="139"/>
    </row>
    <row r="134" spans="2:20" ht="12.75" hidden="1">
      <c r="B134" s="128" t="s">
        <v>132</v>
      </c>
      <c r="C134" s="130"/>
      <c r="D134" s="14"/>
      <c r="E134" s="14"/>
      <c r="F134" s="14"/>
      <c r="G134" s="128">
        <f>SUM(G127:G133)</f>
        <v>0</v>
      </c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38"/>
      <c r="T134" s="139"/>
    </row>
    <row r="135" ht="12.75" hidden="1"/>
    <row r="136" spans="2:7" ht="12.75" hidden="1">
      <c r="B136" s="128" t="s">
        <v>146</v>
      </c>
      <c r="C136" s="129"/>
      <c r="D136" s="129"/>
      <c r="E136" s="129"/>
      <c r="F136" s="129"/>
      <c r="G136" s="130"/>
    </row>
    <row r="137" spans="2:7" ht="12.75" hidden="1">
      <c r="B137" s="158"/>
      <c r="C137" s="159"/>
      <c r="D137" s="158"/>
      <c r="E137" s="159"/>
      <c r="F137" s="158"/>
      <c r="G137" s="159"/>
    </row>
    <row r="138" spans="2:7" ht="12.75" hidden="1">
      <c r="B138" s="160" t="s">
        <v>147</v>
      </c>
      <c r="C138" s="161"/>
      <c r="D138" s="158"/>
      <c r="E138" s="159"/>
      <c r="F138" s="158"/>
      <c r="G138" s="159"/>
    </row>
    <row r="139" spans="2:7" ht="12.75" hidden="1">
      <c r="B139" s="160" t="s">
        <v>124</v>
      </c>
      <c r="C139" s="161"/>
      <c r="D139" s="158"/>
      <c r="E139" s="159"/>
      <c r="F139" s="158"/>
      <c r="G139" s="159"/>
    </row>
    <row r="140" spans="2:7" ht="12.75" hidden="1">
      <c r="B140" s="160" t="s">
        <v>148</v>
      </c>
      <c r="C140" s="161"/>
      <c r="D140" s="158"/>
      <c r="E140" s="159"/>
      <c r="F140" s="158"/>
      <c r="G140" s="159"/>
    </row>
    <row r="141" spans="2:7" ht="12.75" hidden="1">
      <c r="B141" s="160" t="s">
        <v>126</v>
      </c>
      <c r="C141" s="161"/>
      <c r="D141" s="158"/>
      <c r="E141" s="159"/>
      <c r="F141" s="158"/>
      <c r="G141" s="159"/>
    </row>
    <row r="142" spans="2:7" ht="12.75" hidden="1">
      <c r="B142" s="72"/>
      <c r="C142" s="72"/>
      <c r="D142" s="73"/>
      <c r="E142" s="73"/>
      <c r="F142" s="73"/>
      <c r="G142" s="73"/>
    </row>
    <row r="143" spans="1:20" ht="12.75" hidden="1">
      <c r="A143" t="s">
        <v>215</v>
      </c>
      <c r="B143" s="101">
        <v>51</v>
      </c>
      <c r="C143" s="72"/>
      <c r="D143" s="73"/>
      <c r="E143" s="73"/>
      <c r="F143" s="73"/>
      <c r="G143" s="73"/>
      <c r="H143">
        <f aca="true" t="shared" si="8" ref="H143:S143">H111-H144</f>
        <v>-647945.39</v>
      </c>
      <c r="I143">
        <f t="shared" si="8"/>
        <v>-609939.92</v>
      </c>
      <c r="J143">
        <f t="shared" si="8"/>
        <v>-644881.13</v>
      </c>
      <c r="K143">
        <f t="shared" si="8"/>
        <v>-840324.03</v>
      </c>
      <c r="L143">
        <f t="shared" si="8"/>
        <v>-680449.9</v>
      </c>
      <c r="M143">
        <f t="shared" si="8"/>
        <v>-658135.52</v>
      </c>
      <c r="N143">
        <f t="shared" si="8"/>
        <v>-665725.86</v>
      </c>
      <c r="O143">
        <f t="shared" si="8"/>
        <v>-704042.36</v>
      </c>
      <c r="P143">
        <f t="shared" si="8"/>
        <v>-708527.82</v>
      </c>
      <c r="Q143">
        <f t="shared" si="8"/>
        <v>-843124.23</v>
      </c>
      <c r="R143" s="2">
        <f t="shared" si="8"/>
        <v>-565152.3</v>
      </c>
      <c r="S143">
        <f t="shared" si="8"/>
        <v>-936972.11</v>
      </c>
      <c r="T143" s="29">
        <f>H143+I143+J143+K143+L143+M143+N143+O143+P143+Q143+R143+S143</f>
        <v>-8505220.57</v>
      </c>
    </row>
    <row r="144" spans="2:20" ht="12.75" hidden="1">
      <c r="B144" s="84">
        <v>50</v>
      </c>
      <c r="H144">
        <v>647945.39</v>
      </c>
      <c r="I144">
        <v>609939.92</v>
      </c>
      <c r="J144">
        <v>644881.13</v>
      </c>
      <c r="K144">
        <f>840324.03</f>
        <v>840324.03</v>
      </c>
      <c r="L144">
        <v>680449.9</v>
      </c>
      <c r="M144">
        <v>658135.52</v>
      </c>
      <c r="N144" s="103">
        <v>665725.86</v>
      </c>
      <c r="O144">
        <v>704042.36</v>
      </c>
      <c r="P144">
        <v>708527.82</v>
      </c>
      <c r="Q144">
        <v>843124.23</v>
      </c>
      <c r="R144">
        <v>565152.3</v>
      </c>
      <c r="S144">
        <v>936972.11</v>
      </c>
      <c r="T144" s="29">
        <f>H144+I144+J144+K144+L144+M144+N144+O144+P144+Q144+R144+S144</f>
        <v>8505220.57</v>
      </c>
    </row>
    <row r="145" spans="2:17" ht="12.75" hidden="1">
      <c r="B145" s="165">
        <v>71</v>
      </c>
      <c r="C145" s="166"/>
      <c r="D145" s="166"/>
      <c r="E145" s="166"/>
      <c r="F145" s="166"/>
      <c r="G145" s="167"/>
      <c r="H145" s="108">
        <v>945</v>
      </c>
      <c r="K145" s="108">
        <f>K111-K143-K144</f>
        <v>0</v>
      </c>
      <c r="L145" s="108">
        <f>L111-L143-L144</f>
        <v>0</v>
      </c>
      <c r="N145" s="108">
        <f>N111-N143-N144</f>
        <v>0</v>
      </c>
      <c r="O145" s="108">
        <f>O111-O143-O144</f>
        <v>0</v>
      </c>
      <c r="Q145" s="108">
        <f>Q111-Q143-Q144</f>
        <v>0</v>
      </c>
    </row>
    <row r="146" spans="2:7" ht="12.75" hidden="1">
      <c r="B146" s="168" t="s">
        <v>73</v>
      </c>
      <c r="C146" s="169"/>
      <c r="D146" s="170" t="s">
        <v>200</v>
      </c>
      <c r="E146" s="171"/>
      <c r="F146" s="172" t="s">
        <v>203</v>
      </c>
      <c r="G146" s="159"/>
    </row>
    <row r="147" spans="2:7" ht="12.75" hidden="1">
      <c r="B147" s="168" t="s">
        <v>124</v>
      </c>
      <c r="C147" s="169"/>
      <c r="D147" s="203" t="s">
        <v>188</v>
      </c>
      <c r="E147" s="204"/>
      <c r="F147" s="203" t="s">
        <v>204</v>
      </c>
      <c r="G147" s="204"/>
    </row>
    <row r="148" spans="2:7" ht="12.75" hidden="1">
      <c r="B148" s="168" t="s">
        <v>148</v>
      </c>
      <c r="C148" s="169"/>
      <c r="D148" s="203" t="s">
        <v>189</v>
      </c>
      <c r="E148" s="204"/>
      <c r="F148" s="203" t="s">
        <v>205</v>
      </c>
      <c r="G148" s="204"/>
    </row>
    <row r="149" spans="2:7" ht="12.75" hidden="1">
      <c r="B149" s="168" t="s">
        <v>150</v>
      </c>
      <c r="C149" s="169"/>
      <c r="D149" s="203" t="s">
        <v>201</v>
      </c>
      <c r="E149" s="204"/>
      <c r="F149" s="203" t="s">
        <v>206</v>
      </c>
      <c r="G149" s="204"/>
    </row>
    <row r="150" spans="2:7" ht="12.75" hidden="1">
      <c r="B150" s="175" t="s">
        <v>154</v>
      </c>
      <c r="C150" s="176"/>
      <c r="D150" s="205" t="s">
        <v>190</v>
      </c>
      <c r="E150" s="206"/>
      <c r="F150" s="205" t="s">
        <v>207</v>
      </c>
      <c r="G150" s="206"/>
    </row>
    <row r="151" spans="2:7" ht="12.75" hidden="1">
      <c r="B151" s="177" t="s">
        <v>156</v>
      </c>
      <c r="C151" s="178"/>
      <c r="D151" s="195" t="s">
        <v>202</v>
      </c>
      <c r="E151" s="196"/>
      <c r="F151" s="207" t="s">
        <v>209</v>
      </c>
      <c r="G151" s="208"/>
    </row>
    <row r="152" spans="2:7" ht="36" customHeight="1" hidden="1">
      <c r="B152" s="179"/>
      <c r="C152" s="180"/>
      <c r="D152" s="197"/>
      <c r="E152" s="198"/>
      <c r="F152" s="209"/>
      <c r="G152" s="210"/>
    </row>
    <row r="153" spans="2:7" ht="12.75" hidden="1">
      <c r="B153" s="177" t="s">
        <v>157</v>
      </c>
      <c r="C153" s="178"/>
      <c r="D153" s="195"/>
      <c r="E153" s="196"/>
      <c r="F153" s="199"/>
      <c r="G153" s="200"/>
    </row>
    <row r="154" spans="2:7" ht="24" customHeight="1" hidden="1">
      <c r="B154" s="179"/>
      <c r="C154" s="180"/>
      <c r="D154" s="197"/>
      <c r="E154" s="198"/>
      <c r="F154" s="201"/>
      <c r="G154" s="202"/>
    </row>
    <row r="155" spans="2:7" ht="12.75" hidden="1">
      <c r="B155" s="177" t="s">
        <v>158</v>
      </c>
      <c r="C155" s="178"/>
      <c r="D155" s="195" t="s">
        <v>208</v>
      </c>
      <c r="E155" s="196"/>
      <c r="F155" s="195" t="s">
        <v>210</v>
      </c>
      <c r="G155" s="196"/>
    </row>
    <row r="156" spans="2:7" ht="30" customHeight="1" hidden="1">
      <c r="B156" s="179"/>
      <c r="C156" s="180"/>
      <c r="D156" s="197"/>
      <c r="E156" s="198"/>
      <c r="F156" s="197"/>
      <c r="G156" s="198"/>
    </row>
    <row r="157" spans="2:7" ht="12.75" hidden="1">
      <c r="B157" s="177" t="s">
        <v>159</v>
      </c>
      <c r="C157" s="178"/>
      <c r="D157" s="181"/>
      <c r="E157" s="182"/>
      <c r="F157" s="189"/>
      <c r="G157" s="190"/>
    </row>
    <row r="158" spans="2:7" ht="18.75" customHeight="1" hidden="1">
      <c r="B158" s="179"/>
      <c r="C158" s="180"/>
      <c r="D158" s="183"/>
      <c r="E158" s="184"/>
      <c r="F158" s="191"/>
      <c r="G158" s="192"/>
    </row>
    <row r="159" spans="2:7" ht="12.75" hidden="1">
      <c r="B159" s="69"/>
      <c r="C159" s="69"/>
      <c r="D159" s="70"/>
      <c r="E159" s="70"/>
      <c r="F159" s="189"/>
      <c r="G159" s="190"/>
    </row>
    <row r="160" spans="2:7" ht="12.75" hidden="1">
      <c r="B160" s="69"/>
      <c r="C160" s="69"/>
      <c r="D160" s="70"/>
      <c r="E160" s="70"/>
      <c r="F160" s="191"/>
      <c r="G160" s="192"/>
    </row>
    <row r="161" spans="2:7" ht="12.75" hidden="1">
      <c r="B161" s="193" t="s">
        <v>219</v>
      </c>
      <c r="C161" s="194"/>
      <c r="D161" s="194"/>
      <c r="E161" s="194"/>
      <c r="F161" s="194"/>
      <c r="G161" s="194"/>
    </row>
    <row r="162" spans="1:20" ht="12.75" customHeight="1" hidden="1">
      <c r="A162" t="s">
        <v>180</v>
      </c>
      <c r="B162" s="194"/>
      <c r="C162" s="194"/>
      <c r="D162" s="194"/>
      <c r="E162" s="194"/>
      <c r="F162" s="194"/>
      <c r="G162" s="194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29" t="s">
        <v>73</v>
      </c>
    </row>
    <row r="163" spans="2:20" ht="12.75" customHeight="1" hidden="1">
      <c r="B163" s="194"/>
      <c r="C163" s="194"/>
      <c r="D163" s="194"/>
      <c r="E163" s="194"/>
      <c r="F163" s="194"/>
      <c r="G163" s="194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29" t="s">
        <v>73</v>
      </c>
    </row>
    <row r="164" spans="2:7" ht="12.75" customHeight="1" hidden="1">
      <c r="B164" s="194"/>
      <c r="C164" s="194"/>
      <c r="D164" s="194"/>
      <c r="E164" s="194"/>
      <c r="F164" s="194"/>
      <c r="G164" s="194"/>
    </row>
    <row r="165" spans="2:20" ht="12.75" customHeight="1" hidden="1">
      <c r="B165" s="194"/>
      <c r="C165" s="194"/>
      <c r="D165" s="194"/>
      <c r="E165" s="194"/>
      <c r="F165" s="194"/>
      <c r="G165" s="194"/>
      <c r="T165" s="29" t="s">
        <v>73</v>
      </c>
    </row>
    <row r="166" spans="2:20" ht="12.75" customHeight="1" hidden="1">
      <c r="B166" s="194"/>
      <c r="C166" s="194"/>
      <c r="D166" s="194"/>
      <c r="E166" s="194"/>
      <c r="F166" s="194"/>
      <c r="G166" s="194"/>
      <c r="T166"/>
    </row>
    <row r="167" spans="2:7" ht="12.75" customHeight="1" hidden="1">
      <c r="B167" s="194"/>
      <c r="C167" s="194"/>
      <c r="D167" s="194"/>
      <c r="E167" s="194"/>
      <c r="F167" s="194"/>
      <c r="G167" s="194"/>
    </row>
    <row r="168" spans="2:20" ht="12.75" customHeight="1" hidden="1">
      <c r="B168" s="194"/>
      <c r="C168" s="194"/>
      <c r="D168" s="194"/>
      <c r="E168" s="194"/>
      <c r="F168" s="194"/>
      <c r="G168" s="194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36"/>
    </row>
    <row r="169" spans="2:20" ht="12.75" customHeight="1" hidden="1">
      <c r="B169" s="194"/>
      <c r="C169" s="194"/>
      <c r="D169" s="194"/>
      <c r="E169" s="194"/>
      <c r="F169" s="194"/>
      <c r="G169" s="194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36"/>
    </row>
    <row r="170" spans="2:7" ht="12.75" customHeight="1" hidden="1">
      <c r="B170" s="194"/>
      <c r="C170" s="194"/>
      <c r="D170" s="194"/>
      <c r="E170" s="194"/>
      <c r="F170" s="194"/>
      <c r="G170" s="194"/>
    </row>
    <row r="171" spans="2:20" ht="12.75" customHeight="1" hidden="1">
      <c r="B171" s="194"/>
      <c r="C171" s="194"/>
      <c r="D171" s="194"/>
      <c r="E171" s="194"/>
      <c r="F171" s="194"/>
      <c r="G171" s="194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36"/>
    </row>
    <row r="172" spans="2:7" ht="12.75" customHeight="1" hidden="1">
      <c r="B172" s="194"/>
      <c r="C172" s="194"/>
      <c r="D172" s="194"/>
      <c r="E172" s="194"/>
      <c r="F172" s="194"/>
      <c r="G172" s="194"/>
    </row>
    <row r="173" spans="2:20" ht="12.75" customHeight="1" hidden="1">
      <c r="B173" s="194"/>
      <c r="C173" s="194"/>
      <c r="D173" s="194"/>
      <c r="E173" s="194"/>
      <c r="F173" s="194"/>
      <c r="G173" s="194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36"/>
    </row>
    <row r="174" spans="2:7" ht="12.75" customHeight="1" hidden="1">
      <c r="B174" s="194"/>
      <c r="C174" s="194"/>
      <c r="D174" s="194"/>
      <c r="E174" s="194"/>
      <c r="F174" s="194"/>
      <c r="G174" s="194"/>
    </row>
    <row r="175" spans="2:20" ht="12.75" customHeight="1" hidden="1">
      <c r="B175" s="194"/>
      <c r="C175" s="194"/>
      <c r="D175" s="194"/>
      <c r="E175" s="194"/>
      <c r="F175" s="194"/>
      <c r="G175" s="194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36"/>
    </row>
    <row r="176" spans="2:20" ht="12.75" customHeight="1" hidden="1">
      <c r="B176" s="194"/>
      <c r="C176" s="194"/>
      <c r="D176" s="194"/>
      <c r="E176" s="194"/>
      <c r="F176" s="194"/>
      <c r="G176" s="194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36"/>
    </row>
    <row r="177" spans="2:7" ht="12.75" customHeight="1" hidden="1">
      <c r="B177" s="194"/>
      <c r="C177" s="194"/>
      <c r="D177" s="194"/>
      <c r="E177" s="194"/>
      <c r="F177" s="194"/>
      <c r="G177" s="194"/>
    </row>
    <row r="178" spans="2:7" ht="12.75" customHeight="1" hidden="1">
      <c r="B178" s="194"/>
      <c r="C178" s="194"/>
      <c r="D178" s="194"/>
      <c r="E178" s="194"/>
      <c r="F178" s="194"/>
      <c r="G178" s="194"/>
    </row>
    <row r="179" spans="1:20" ht="12.75" customHeight="1" hidden="1">
      <c r="A179" s="13"/>
      <c r="B179" s="194"/>
      <c r="C179" s="194"/>
      <c r="D179" s="194"/>
      <c r="E179" s="194"/>
      <c r="F179" s="194"/>
      <c r="G179" s="194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29" t="s">
        <v>73</v>
      </c>
    </row>
    <row r="180" spans="1:20" ht="12.75" customHeight="1" hidden="1">
      <c r="A180" s="13"/>
      <c r="B180" s="194"/>
      <c r="C180" s="194"/>
      <c r="D180" s="194"/>
      <c r="E180" s="194"/>
      <c r="F180" s="194"/>
      <c r="G180" s="194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29" t="s">
        <v>73</v>
      </c>
    </row>
    <row r="181" spans="2:7" ht="12.75" customHeight="1" hidden="1">
      <c r="B181" s="194"/>
      <c r="C181" s="194"/>
      <c r="D181" s="194"/>
      <c r="E181" s="194"/>
      <c r="F181" s="194"/>
      <c r="G181" s="194"/>
    </row>
    <row r="182" spans="2:7" ht="12.75" customHeight="1" hidden="1">
      <c r="B182" s="194"/>
      <c r="C182" s="194"/>
      <c r="D182" s="194"/>
      <c r="E182" s="194"/>
      <c r="F182" s="194"/>
      <c r="G182" s="194"/>
    </row>
    <row r="183" spans="2:7" ht="12.75" hidden="1">
      <c r="B183" s="194"/>
      <c r="C183" s="194"/>
      <c r="D183" s="194"/>
      <c r="E183" s="194"/>
      <c r="F183" s="194"/>
      <c r="G183" s="194"/>
    </row>
    <row r="184" ht="12.75" hidden="1"/>
  </sheetData>
  <sheetProtection/>
  <mergeCells count="151">
    <mergeCell ref="A12:J12"/>
    <mergeCell ref="A13:K13"/>
    <mergeCell ref="A15:C15"/>
    <mergeCell ref="F15:G15"/>
    <mergeCell ref="B17:E17"/>
    <mergeCell ref="F17:G17"/>
    <mergeCell ref="F18:G18"/>
    <mergeCell ref="B19:E19"/>
    <mergeCell ref="F19:G19"/>
    <mergeCell ref="F20:G20"/>
    <mergeCell ref="F21:G21"/>
    <mergeCell ref="B22:E22"/>
    <mergeCell ref="F22:G22"/>
    <mergeCell ref="B24:E24"/>
    <mergeCell ref="F24:G24"/>
    <mergeCell ref="B25:E25"/>
    <mergeCell ref="F25:G25"/>
    <mergeCell ref="F26:G26"/>
    <mergeCell ref="B27:E27"/>
    <mergeCell ref="F27:G27"/>
    <mergeCell ref="A29:C29"/>
    <mergeCell ref="B31:E31"/>
    <mergeCell ref="B34:E34"/>
    <mergeCell ref="B35:E35"/>
    <mergeCell ref="F35:G35"/>
    <mergeCell ref="F36:G36"/>
    <mergeCell ref="B37:E37"/>
    <mergeCell ref="F37:G37"/>
    <mergeCell ref="B38:E38"/>
    <mergeCell ref="F38:G38"/>
    <mergeCell ref="B39:E39"/>
    <mergeCell ref="F39:G39"/>
    <mergeCell ref="F43:G43"/>
    <mergeCell ref="B45:E45"/>
    <mergeCell ref="F45:G45"/>
    <mergeCell ref="B40:E40"/>
    <mergeCell ref="F40:G40"/>
    <mergeCell ref="B41:E41"/>
    <mergeCell ref="F41:G41"/>
    <mergeCell ref="B46:E46"/>
    <mergeCell ref="F46:G46"/>
    <mergeCell ref="B47:E47"/>
    <mergeCell ref="F47:G47"/>
    <mergeCell ref="B48:E48"/>
    <mergeCell ref="F48:G48"/>
    <mergeCell ref="B49:E49"/>
    <mergeCell ref="F49:G49"/>
    <mergeCell ref="B50:E50"/>
    <mergeCell ref="F50:G50"/>
    <mergeCell ref="B51:E51"/>
    <mergeCell ref="F51:G51"/>
    <mergeCell ref="B52:E52"/>
    <mergeCell ref="F52:G52"/>
    <mergeCell ref="B53:E53"/>
    <mergeCell ref="F53:G53"/>
    <mergeCell ref="F54:G54"/>
    <mergeCell ref="B55:E55"/>
    <mergeCell ref="F55:G55"/>
    <mergeCell ref="B56:E56"/>
    <mergeCell ref="F56:G56"/>
    <mergeCell ref="B57:E57"/>
    <mergeCell ref="F57:G57"/>
    <mergeCell ref="B58:E58"/>
    <mergeCell ref="F58:G58"/>
    <mergeCell ref="F59:G59"/>
    <mergeCell ref="F60:G60"/>
    <mergeCell ref="F61:G61"/>
    <mergeCell ref="B62:E62"/>
    <mergeCell ref="B64:E64"/>
    <mergeCell ref="F64:G64"/>
    <mergeCell ref="F62:G62"/>
    <mergeCell ref="F63:G63"/>
    <mergeCell ref="F65:G65"/>
    <mergeCell ref="F67:G67"/>
    <mergeCell ref="B68:E68"/>
    <mergeCell ref="F68:G68"/>
    <mergeCell ref="F69:G69"/>
    <mergeCell ref="B69:E69"/>
    <mergeCell ref="F70:G70"/>
    <mergeCell ref="B71:E71"/>
    <mergeCell ref="F71:G71"/>
    <mergeCell ref="B72:E72"/>
    <mergeCell ref="F72:G72"/>
    <mergeCell ref="B74:E74"/>
    <mergeCell ref="F74:G74"/>
    <mergeCell ref="F78:G78"/>
    <mergeCell ref="F81:G81"/>
    <mergeCell ref="B73:E73"/>
    <mergeCell ref="F73:G73"/>
    <mergeCell ref="F82:G82"/>
    <mergeCell ref="B119:C119"/>
    <mergeCell ref="F119:G119"/>
    <mergeCell ref="B120:C120"/>
    <mergeCell ref="F120:G120"/>
    <mergeCell ref="G126:T126"/>
    <mergeCell ref="B127:C127"/>
    <mergeCell ref="G127:T127"/>
    <mergeCell ref="B129:C129"/>
    <mergeCell ref="G129:T129"/>
    <mergeCell ref="B131:C131"/>
    <mergeCell ref="G131:T131"/>
    <mergeCell ref="B133:C133"/>
    <mergeCell ref="G133:T133"/>
    <mergeCell ref="B134:C134"/>
    <mergeCell ref="G134:T134"/>
    <mergeCell ref="B136:G136"/>
    <mergeCell ref="B137:C137"/>
    <mergeCell ref="D137:E137"/>
    <mergeCell ref="F137:G137"/>
    <mergeCell ref="B138:C138"/>
    <mergeCell ref="D138:E138"/>
    <mergeCell ref="F138:G138"/>
    <mergeCell ref="B139:C139"/>
    <mergeCell ref="D139:E139"/>
    <mergeCell ref="F139:G139"/>
    <mergeCell ref="B140:C140"/>
    <mergeCell ref="D140:E140"/>
    <mergeCell ref="F140:G140"/>
    <mergeCell ref="B141:C141"/>
    <mergeCell ref="D141:E141"/>
    <mergeCell ref="F141:G141"/>
    <mergeCell ref="B145:G145"/>
    <mergeCell ref="B146:C146"/>
    <mergeCell ref="D146:E146"/>
    <mergeCell ref="F146:G146"/>
    <mergeCell ref="B147:C147"/>
    <mergeCell ref="D147:E147"/>
    <mergeCell ref="F147:G147"/>
    <mergeCell ref="B148:C148"/>
    <mergeCell ref="D148:E148"/>
    <mergeCell ref="F148:G148"/>
    <mergeCell ref="B149:C149"/>
    <mergeCell ref="D149:E149"/>
    <mergeCell ref="F149:G149"/>
    <mergeCell ref="F155:G156"/>
    <mergeCell ref="B150:C150"/>
    <mergeCell ref="D150:E150"/>
    <mergeCell ref="F150:G150"/>
    <mergeCell ref="B151:C152"/>
    <mergeCell ref="D151:E152"/>
    <mergeCell ref="F151:G152"/>
    <mergeCell ref="F159:G160"/>
    <mergeCell ref="B161:G183"/>
    <mergeCell ref="B157:C158"/>
    <mergeCell ref="D157:E158"/>
    <mergeCell ref="F157:G158"/>
    <mergeCell ref="B153:C154"/>
    <mergeCell ref="D153:E154"/>
    <mergeCell ref="F153:G154"/>
    <mergeCell ref="B155:C156"/>
    <mergeCell ref="D155:E15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Орбита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Мануева Любовь</dc:creator>
  <cp:keywords/>
  <dc:description/>
  <cp:lastModifiedBy>Мануева Любовь</cp:lastModifiedBy>
  <cp:lastPrinted>2018-04-22T14:32:55Z</cp:lastPrinted>
  <dcterms:created xsi:type="dcterms:W3CDTF">2011-02-26T10:16:07Z</dcterms:created>
  <dcterms:modified xsi:type="dcterms:W3CDTF">2018-04-26T11:49:16Z</dcterms:modified>
  <cp:category/>
  <cp:version/>
  <cp:contentType/>
  <cp:contentStatus/>
</cp:coreProperties>
</file>