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0" windowWidth="12420" windowHeight="9912" activeTab="5"/>
  </bookViews>
  <sheets>
    <sheet name="2011" sheetId="1" r:id="rId1"/>
    <sheet name="2010" sheetId="2" r:id="rId2"/>
    <sheet name="2012" sheetId="3" r:id="rId3"/>
    <sheet name="2013" sheetId="4" r:id="rId4"/>
    <sheet name="2014" sheetId="5" r:id="rId5"/>
    <sheet name="2015" sheetId="6" r:id="rId6"/>
    <sheet name="Лист2" sheetId="7" r:id="rId7"/>
    <sheet name="Лист3" sheetId="8" r:id="rId8"/>
  </sheets>
  <definedNames/>
  <calcPr fullCalcOnLoad="1"/>
</workbook>
</file>

<file path=xl/sharedStrings.xml><?xml version="1.0" encoding="utf-8"?>
<sst xmlns="http://schemas.openxmlformats.org/spreadsheetml/2006/main" count="797" uniqueCount="259">
  <si>
    <t>Смета доходов и расходов</t>
  </si>
  <si>
    <t>по ТСЖ ЖСК Орбита за 2010 г.</t>
  </si>
  <si>
    <t>Доходы</t>
  </si>
  <si>
    <t>Аренда подсобного помещения</t>
  </si>
  <si>
    <t>Сборы за техн.обсл.здания</t>
  </si>
  <si>
    <t>Капитальный ремонт дома</t>
  </si>
  <si>
    <t>% по остатку денежных средств</t>
  </si>
  <si>
    <t>Остаток по кассе на 01.01.2010 г.</t>
  </si>
  <si>
    <t>ИТОГО:</t>
  </si>
  <si>
    <t>Расходы</t>
  </si>
  <si>
    <t xml:space="preserve">Заработная плата </t>
  </si>
  <si>
    <t>Отчисления в ПФР</t>
  </si>
  <si>
    <t>Отчисления в ИФНС (НДФЛ)</t>
  </si>
  <si>
    <t>Отчисления в ИФНС (аренда)</t>
  </si>
  <si>
    <t>Электроэнергия</t>
  </si>
  <si>
    <t>Телефон правления</t>
  </si>
  <si>
    <t>% за услуги банка</t>
  </si>
  <si>
    <t>Уборка снега  и мусора, проведение субботника</t>
  </si>
  <si>
    <t>Хоз.нужды, материалы и канц. Товары</t>
  </si>
  <si>
    <t>Ремонтные и аварийные работы</t>
  </si>
  <si>
    <t>Полная замена тепл.узла с уст.электр.сч.</t>
  </si>
  <si>
    <t>Дератизация от блох и мышей в подвале</t>
  </si>
  <si>
    <t>Ремонт дороги вдоль дома и в районе мусоросб.</t>
  </si>
  <si>
    <t>Оказание единовр. помощи пострадавшим</t>
  </si>
  <si>
    <t>Благоустройство территории</t>
  </si>
  <si>
    <t>Прочистка вент.каналов</t>
  </si>
  <si>
    <t>Юридич. сопровожд.</t>
  </si>
  <si>
    <t>Остаток по банку на 01.01.2010 г.</t>
  </si>
  <si>
    <t>Ревизия</t>
  </si>
  <si>
    <t>Окна</t>
  </si>
  <si>
    <t>94595+7106.5</t>
  </si>
  <si>
    <t>143345,МО.Наро-Фоминский р-н</t>
  </si>
  <si>
    <t>р/с       40703810540270124036</t>
  </si>
  <si>
    <t>п.Селятино.д.Орбита</t>
  </si>
  <si>
    <t>БИК     044525225</t>
  </si>
  <si>
    <t xml:space="preserve">к/сч.    30101810400000000225 </t>
  </si>
  <si>
    <t>инн/кпп 503009169 /503001001</t>
  </si>
  <si>
    <t>ОСБ 2572/080 СБ России г.Москва</t>
  </si>
  <si>
    <t xml:space="preserve"> /080 СБ России  г.Москва</t>
  </si>
  <si>
    <t>----------------------------------------------------------------------------------------------------------------------------------</t>
  </si>
  <si>
    <t xml:space="preserve">тел.8 (496)342-33-76 </t>
  </si>
  <si>
    <t>Остаток по кассе на 01.01.2011 г.</t>
  </si>
  <si>
    <t>Остаток по банку на 01.01.2011 г.</t>
  </si>
  <si>
    <t>Прочие (Бивег.Дримлайн.фотосал.уборщ.)</t>
  </si>
  <si>
    <t>Оформление лимита (экология)</t>
  </si>
  <si>
    <t>Хоз.нужды, материалы и канц. Товары.почт.расх.</t>
  </si>
  <si>
    <t>Служ.разъезды.поздравления</t>
  </si>
  <si>
    <t>Промывка и опрессовка стояков и бат. Отопл.</t>
  </si>
  <si>
    <t>Благоустр-во тер. (очистка снега и пров.суб.)</t>
  </si>
  <si>
    <t>Услуги юриста</t>
  </si>
  <si>
    <t>Ремонт козырьков над входами</t>
  </si>
  <si>
    <t>Дезинфекция от блох</t>
  </si>
  <si>
    <t>Противопож.обсл. В аренд.пом.</t>
  </si>
  <si>
    <t>Приведение в порядок противопож.обор.</t>
  </si>
  <si>
    <t>Вывоз ТБО</t>
  </si>
  <si>
    <t>ИФНС (зем.налог)</t>
  </si>
  <si>
    <t>Товарищество собственников жилья</t>
  </si>
  <si>
    <t xml:space="preserve">          Антипина Н.Н.</t>
  </si>
  <si>
    <t>Утверждено на собрании</t>
  </si>
  <si>
    <t xml:space="preserve">протокол № </t>
  </si>
  <si>
    <t>от</t>
  </si>
  <si>
    <t>Техн.обсл.узла учета тепл.</t>
  </si>
  <si>
    <t>Составили:</t>
  </si>
  <si>
    <t xml:space="preserve">          Типикина Г.М.</t>
  </si>
  <si>
    <t>Премиальный фонд</t>
  </si>
  <si>
    <t>январь</t>
  </si>
  <si>
    <t>февраль</t>
  </si>
  <si>
    <t>март</t>
  </si>
  <si>
    <t>апрель</t>
  </si>
  <si>
    <t>май</t>
  </si>
  <si>
    <t>июнь</t>
  </si>
  <si>
    <t>сошников оконч.расчет</t>
  </si>
  <si>
    <t>июль</t>
  </si>
  <si>
    <t>август</t>
  </si>
  <si>
    <t>сентябрь</t>
  </si>
  <si>
    <t>госпошлина</t>
  </si>
  <si>
    <t>Отчисления в ИФНС (аренда)прибыль</t>
  </si>
  <si>
    <t>скс</t>
  </si>
  <si>
    <t>нтэк</t>
  </si>
  <si>
    <t>мособлгаз</t>
  </si>
  <si>
    <t>пени</t>
  </si>
  <si>
    <t>домофон</t>
  </si>
  <si>
    <t>возврат госпошл</t>
  </si>
  <si>
    <t>селятино-строй</t>
  </si>
  <si>
    <t>копии в ифнс</t>
  </si>
  <si>
    <t>экопроект</t>
  </si>
  <si>
    <t>октябрь</t>
  </si>
  <si>
    <t>ноябрь</t>
  </si>
  <si>
    <t>декабрь</t>
  </si>
  <si>
    <t xml:space="preserve"> </t>
  </si>
  <si>
    <t>очистка дорог от снега .крыш</t>
  </si>
  <si>
    <t>отопл.,гор.в.</t>
  </si>
  <si>
    <t>ХВС,кан,</t>
  </si>
  <si>
    <t>газ</t>
  </si>
  <si>
    <t>антенна</t>
  </si>
  <si>
    <t>дезобр.</t>
  </si>
  <si>
    <t>уборка пом</t>
  </si>
  <si>
    <t>доп.усл</t>
  </si>
  <si>
    <t>перерасчет</t>
  </si>
  <si>
    <t>тбо</t>
  </si>
  <si>
    <t>система видеонабл.</t>
  </si>
  <si>
    <t xml:space="preserve">    ОРБИТА</t>
  </si>
  <si>
    <t>Аварийные и рем.работы, вкл.рем.балконов(стройИмпекс)</t>
  </si>
  <si>
    <t>Долевое участие в ремонте дороги(отделстрой)</t>
  </si>
  <si>
    <t>Полная замена труб ГВС с сост.сметы(СелятиноСтрой)</t>
  </si>
  <si>
    <t>План</t>
  </si>
  <si>
    <t>Факт</t>
  </si>
  <si>
    <t>Остаток по кассе на 01.01.2012 г.</t>
  </si>
  <si>
    <t>Остаток по банку на 01.01.2012 г.</t>
  </si>
  <si>
    <t>Аварийные и ремонтые работы</t>
  </si>
  <si>
    <t>Замена вентилей на стояках отопления</t>
  </si>
  <si>
    <t>Программа Домовладелец</t>
  </si>
  <si>
    <t>Подписка</t>
  </si>
  <si>
    <t>Ремонт подъездов</t>
  </si>
  <si>
    <t>Штрафы по итогам проверки гос.жил.инспекции</t>
  </si>
  <si>
    <t>Установка системы видеонаблюдения в подвале</t>
  </si>
  <si>
    <t>по ТСЖ Орбита на 2012 г.</t>
  </si>
  <si>
    <t>Земельный налог</t>
  </si>
  <si>
    <t>Налог по экологии. Лимит на вывоз мусора</t>
  </si>
  <si>
    <t>Э/энергия мест общего пользования</t>
  </si>
  <si>
    <t>Техническое обслуживание узла учета</t>
  </si>
  <si>
    <t>Налог на прибыль</t>
  </si>
  <si>
    <t>Обсуживание пожарной сигнализации</t>
  </si>
  <si>
    <t>Полная замена эл.проводки в подвале</t>
  </si>
  <si>
    <t xml:space="preserve">Замена светильников п подъездах </t>
  </si>
  <si>
    <t>Ремонт подъездов по предп. Жил.инсп.</t>
  </si>
  <si>
    <t>Создание сайта согл. ФЗ № 731 и ПП ; 94 от 06.02.2012</t>
  </si>
  <si>
    <t>Юридическое сопровождение</t>
  </si>
  <si>
    <t>ВСЕГО:</t>
  </si>
  <si>
    <t xml:space="preserve">                                                                                      ОСБ 2572/080 СБ России г.Москва</t>
  </si>
  <si>
    <t>по ТСЖ  Орбита на 2011 г.</t>
  </si>
  <si>
    <t>программа 1-С</t>
  </si>
  <si>
    <t>аудит.пров.</t>
  </si>
  <si>
    <t>Дезинфекция</t>
  </si>
  <si>
    <t>Квартплата</t>
  </si>
  <si>
    <t>по ТСЖ Орбита на 2013 г.</t>
  </si>
  <si>
    <t>Остаток по банку на 01.01.2013 г.</t>
  </si>
  <si>
    <t>I.</t>
  </si>
  <si>
    <t>Содержание и ремонт жилого помещения</t>
  </si>
  <si>
    <t>Управление многоквартирным домом</t>
  </si>
  <si>
    <t>Заработная плата персонала</t>
  </si>
  <si>
    <t>Вознаграждение председателя и членов правления</t>
  </si>
  <si>
    <t>Страховые взносы</t>
  </si>
  <si>
    <t xml:space="preserve">Расходы на телефон правления </t>
  </si>
  <si>
    <t>Канцелярские,почтовые расходы,материалы,обсл.оргтехники</t>
  </si>
  <si>
    <t>Программное обеспечение "Домовладелец"</t>
  </si>
  <si>
    <t>II.</t>
  </si>
  <si>
    <t>Заработная плата обсл.персонала</t>
  </si>
  <si>
    <t>Аварийные и ремонтные работы</t>
  </si>
  <si>
    <t>Электролампы,инвентарь,краски,оборудование</t>
  </si>
  <si>
    <t>Дератизация</t>
  </si>
  <si>
    <t>Обслуживание газового оборудования</t>
  </si>
  <si>
    <t>Обслуживание узла учета</t>
  </si>
  <si>
    <t>Благоустройство</t>
  </si>
  <si>
    <t>Опрессовка системы отопления</t>
  </si>
  <si>
    <t>Замена счетчика на холодную воду</t>
  </si>
  <si>
    <t>Налог по экологии</t>
  </si>
  <si>
    <t>Обсл.пожарной сигнализации в цокольном этаже</t>
  </si>
  <si>
    <t>п.Селятино.д.Орбита, 22/23</t>
  </si>
  <si>
    <t>Содержание и ремонт общего имущества</t>
  </si>
  <si>
    <t>51 сч.</t>
  </si>
  <si>
    <t>50 сч.</t>
  </si>
  <si>
    <t>71 сч.</t>
  </si>
  <si>
    <t xml:space="preserve">бродская приход </t>
  </si>
  <si>
    <t xml:space="preserve">       Товарищество собственников жилья</t>
  </si>
  <si>
    <t xml:space="preserve">                               ОРБИТА</t>
  </si>
  <si>
    <t>аренда</t>
  </si>
  <si>
    <t>тех.обсл.</t>
  </si>
  <si>
    <t>Всего:</t>
  </si>
  <si>
    <t>Остаток по кассе</t>
  </si>
  <si>
    <t>Остаток по банку</t>
  </si>
  <si>
    <t>на 01.01.2013</t>
  </si>
  <si>
    <t>на 01.01.2014</t>
  </si>
  <si>
    <t>Итоги оплаты за коммунальные услуги</t>
  </si>
  <si>
    <t>ХВС</t>
  </si>
  <si>
    <t>Стоки</t>
  </si>
  <si>
    <t>ГВС</t>
  </si>
  <si>
    <t>Отопление</t>
  </si>
  <si>
    <t>оплачено поставщикам</t>
  </si>
  <si>
    <t>начислено жителям</t>
  </si>
  <si>
    <t>оплачено жителями</t>
  </si>
  <si>
    <t>разница</t>
  </si>
  <si>
    <t>Итого:</t>
  </si>
  <si>
    <t>по ТСЖ Орбита на 2014 г.</t>
  </si>
  <si>
    <t>на 01.01.2015</t>
  </si>
  <si>
    <t>Сбор платежей с жителей за обслуживание, содержание и ремонт</t>
  </si>
  <si>
    <t>Сборы платежей за обслуживание домофона</t>
  </si>
  <si>
    <t>Сбор платежей за обслуживание антенны</t>
  </si>
  <si>
    <t>Управление эксплуатацией ж/фонда</t>
  </si>
  <si>
    <t>Обслуживание домофона</t>
  </si>
  <si>
    <t>Обслуживание антенн</t>
  </si>
  <si>
    <t>Э/энергия в арендуемых помещениях</t>
  </si>
  <si>
    <t>Обслуживание кассового аппарата</t>
  </si>
  <si>
    <t>Прочистка лежаков канализации в подвале</t>
  </si>
  <si>
    <t>Поверка счетчика горячей воды</t>
  </si>
  <si>
    <t>Возврат 4 руб. с кв.м.</t>
  </si>
  <si>
    <t>Налог по экологии и сдача отчета</t>
  </si>
  <si>
    <t>Подтверждение лимита на вывоз мусора общ. им.</t>
  </si>
  <si>
    <t>Резерв на обслуживание и ремонт</t>
  </si>
  <si>
    <t>Капитальный ремонт дома до 01.06.2014 г.</t>
  </si>
  <si>
    <t>Тарифы по оплате за коммунальные услуги</t>
  </si>
  <si>
    <t>с 01.07.2013-30.06.2014</t>
  </si>
  <si>
    <t>с 01.07.2014</t>
  </si>
  <si>
    <t>отопление</t>
  </si>
  <si>
    <t>стоки</t>
  </si>
  <si>
    <t>34,4 руб/кв.м</t>
  </si>
  <si>
    <t>39,0 руб/кв.м</t>
  </si>
  <si>
    <t>Согласно распоряжению Комитета по ценам и тарифам Московской обл. тариф на коммунальные услуги с 01.07.2014 года составляет</t>
  </si>
  <si>
    <t>1 Гкал</t>
  </si>
  <si>
    <t>с 01.07.2013</t>
  </si>
  <si>
    <t>18,04 руб/куб.м</t>
  </si>
  <si>
    <t>19,27 руб/куб.м</t>
  </si>
  <si>
    <t>2255,64 руб/Гкал</t>
  </si>
  <si>
    <t>2355,87 руб/Гкал</t>
  </si>
  <si>
    <t>ХВС в составе ГВС</t>
  </si>
  <si>
    <r>
      <t xml:space="preserve">0,053 Гкал/куб.м х 2255,62 руб/Гкал = </t>
    </r>
    <r>
      <rPr>
        <b/>
        <sz val="10"/>
        <rFont val="Arial Cyr"/>
        <family val="0"/>
      </rPr>
      <t xml:space="preserve">119,55 руб/куб.м </t>
    </r>
  </si>
  <si>
    <r>
      <t xml:space="preserve">0,053 Гкал/куб.м х 2355,87 руб/Гкал = </t>
    </r>
    <r>
      <rPr>
        <b/>
        <sz val="10"/>
        <rFont val="Arial Cyr"/>
        <family val="0"/>
      </rPr>
      <t>124,86 руб/куб.м</t>
    </r>
  </si>
  <si>
    <r>
      <t xml:space="preserve">0,0576 Гкал/куб.м х 2255,64 руб/Гкал = </t>
    </r>
    <r>
      <rPr>
        <b/>
        <sz val="10"/>
        <rFont val="Arial Cyr"/>
        <family val="0"/>
      </rPr>
      <t>129,93 руб/куб.м</t>
    </r>
    <r>
      <rPr>
        <sz val="10"/>
        <rFont val="Arial Cyr"/>
        <family val="0"/>
      </rPr>
      <t xml:space="preserve"> </t>
    </r>
  </si>
  <si>
    <r>
      <t xml:space="preserve">0,0576 Гкал/куб.м х 2355,87 руб/Гкал = </t>
    </r>
    <r>
      <rPr>
        <b/>
        <sz val="10"/>
        <rFont val="Arial Cyr"/>
        <family val="0"/>
      </rPr>
      <t xml:space="preserve">135,7 руб/куб.м </t>
    </r>
  </si>
  <si>
    <t>25,32 руб/куб.м</t>
  </si>
  <si>
    <t xml:space="preserve">26,86 руб/куб.м </t>
  </si>
  <si>
    <r>
      <t xml:space="preserve">26,86 руб/куб.м + 124,86 руб/куб.м = </t>
    </r>
    <r>
      <rPr>
        <b/>
        <sz val="10"/>
        <rFont val="Arial Cyr"/>
        <family val="0"/>
      </rPr>
      <t>151,72 руб/куб.м</t>
    </r>
  </si>
  <si>
    <r>
      <t xml:space="preserve">25,32 руб/куб.м + 119,55 руб/куб.м = </t>
    </r>
    <r>
      <rPr>
        <b/>
        <sz val="10"/>
        <rFont val="Arial Cyr"/>
        <family val="0"/>
      </rPr>
      <t>144,87 руб/куб.м</t>
    </r>
  </si>
  <si>
    <r>
      <t xml:space="preserve">25,32 руб/куб.м + 129,92 руб/куб.м = </t>
    </r>
    <r>
      <rPr>
        <b/>
        <sz val="10"/>
        <rFont val="Arial Cyr"/>
        <family val="0"/>
      </rPr>
      <t>155,25 руб/куб.м</t>
    </r>
  </si>
  <si>
    <r>
      <t xml:space="preserve">26,86 руб/куб.м + 135,7 руб/куб.м = </t>
    </r>
    <r>
      <rPr>
        <b/>
        <sz val="10"/>
        <rFont val="Arial Cyr"/>
        <family val="0"/>
      </rPr>
      <t>162,56 руб/куб.м</t>
    </r>
  </si>
  <si>
    <t>подогрев полотенцесушителя от отопления</t>
  </si>
  <si>
    <t>подогрев полотенцесушителя от ГВС</t>
  </si>
  <si>
    <t>стоимость 1 куб.м ГВС (подогрева полотенцесушителя от отопления)</t>
  </si>
  <si>
    <t>стоимость 1 куб.м ГВС (подогрев полотенцесушителя от ГВС)</t>
  </si>
  <si>
    <t>104,6 руб/чел</t>
  </si>
  <si>
    <t>95,0 руб/чел</t>
  </si>
  <si>
    <t>155,0 руб/чел</t>
  </si>
  <si>
    <t>146,0 руб/чел</t>
  </si>
  <si>
    <t>330,0 руб/чел</t>
  </si>
  <si>
    <t>360,0 руб/чел</t>
  </si>
  <si>
    <t>кв.плата</t>
  </si>
  <si>
    <t>Справка о техн.сост.здания (ГЖИ)</t>
  </si>
  <si>
    <t>Поступления по решению суда</t>
  </si>
  <si>
    <t>Судебные расходы</t>
  </si>
  <si>
    <t>по ТСЖ Орбита на 2015 г.</t>
  </si>
  <si>
    <t>Чистка вент.каналов</t>
  </si>
  <si>
    <t>Промывка системы отопления</t>
  </si>
  <si>
    <t>Система видеонаблюдения</t>
  </si>
  <si>
    <t>Расходы по решению суда</t>
  </si>
  <si>
    <t>Э/энергия в аренд.помещениях</t>
  </si>
  <si>
    <t>Ремонт входов в подъезды</t>
  </si>
  <si>
    <t>на 01.01.2016</t>
  </si>
  <si>
    <t>Возмещение по решению суда</t>
  </si>
  <si>
    <t>с 01.01.2015</t>
  </si>
  <si>
    <t>с 01.07.2015</t>
  </si>
  <si>
    <t>26,86 руб/куб.м</t>
  </si>
  <si>
    <t>19,98 руб/куб.м</t>
  </si>
  <si>
    <t>20,80 руб/куб.м</t>
  </si>
  <si>
    <t>2534,29 руб/Гкал</t>
  </si>
  <si>
    <t xml:space="preserve">29,17 руб/куб.м </t>
  </si>
  <si>
    <r>
      <t xml:space="preserve">0,053 Гкал/куб.м х 2355,87 руб/Гкал = </t>
    </r>
    <r>
      <rPr>
        <b/>
        <sz val="10"/>
        <rFont val="Arial Cyr"/>
        <family val="0"/>
      </rPr>
      <t xml:space="preserve">124,86 руб/куб.м </t>
    </r>
  </si>
  <si>
    <r>
      <t xml:space="preserve">0,057 Гкал/куб.м х 2534,29 руб/Гкал = </t>
    </r>
    <r>
      <rPr>
        <b/>
        <sz val="10"/>
        <rFont val="Arial Cyr"/>
        <family val="0"/>
      </rPr>
      <t>144,45 руб/куб.м</t>
    </r>
  </si>
  <si>
    <r>
      <t xml:space="preserve">29,17 руб/куб.м + 144,45 руб/куб.м = </t>
    </r>
    <r>
      <rPr>
        <b/>
        <sz val="10"/>
        <rFont val="Arial Cyr"/>
        <family val="0"/>
      </rPr>
      <t>173,62 руб/куб.м</t>
    </r>
  </si>
  <si>
    <t>+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</si>
</sst>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000000"/>
    <numFmt numFmtId="167" formatCode="0000"/>
  </numFmts>
  <fonts count="66">
    <font>
      <sz val="1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2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b/>
      <sz val="10"/>
      <color indexed="12"/>
      <name val="Arial Cyr"/>
      <family val="0"/>
    </font>
    <font>
      <b/>
      <sz val="10"/>
      <color indexed="14"/>
      <name val="Arial Cyr"/>
      <family val="0"/>
    </font>
    <font>
      <sz val="10"/>
      <color indexed="8"/>
      <name val="Arial Cyr"/>
      <family val="0"/>
    </font>
    <font>
      <b/>
      <sz val="10"/>
      <color indexed="61"/>
      <name val="Arial Cyr"/>
      <family val="0"/>
    </font>
    <font>
      <b/>
      <sz val="10"/>
      <color indexed="57"/>
      <name val="Arial Cyr"/>
      <family val="0"/>
    </font>
    <font>
      <b/>
      <sz val="10"/>
      <color indexed="46"/>
      <name val="Arial Cyr"/>
      <family val="0"/>
    </font>
    <font>
      <b/>
      <sz val="10"/>
      <color indexed="52"/>
      <name val="Arial Cyr"/>
      <family val="0"/>
    </font>
    <font>
      <b/>
      <sz val="10"/>
      <color indexed="8"/>
      <name val="Arial Cyr"/>
      <family val="0"/>
    </font>
    <font>
      <sz val="9"/>
      <name val="Arial Cyr"/>
      <family val="0"/>
    </font>
    <font>
      <b/>
      <sz val="10"/>
      <color indexed="9"/>
      <name val="Arial Cyr"/>
      <family val="0"/>
    </font>
    <font>
      <b/>
      <u val="single"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10"/>
      <color indexed="12"/>
      <name val="Arial Cyr"/>
      <family val="0"/>
    </font>
    <font>
      <sz val="10"/>
      <color indexed="20"/>
      <name val="Arial Cyr"/>
      <family val="0"/>
    </font>
    <font>
      <b/>
      <sz val="10"/>
      <color indexed="20"/>
      <name val="Arial Cyr"/>
      <family val="0"/>
    </font>
    <font>
      <b/>
      <sz val="10"/>
      <color indexed="14"/>
      <name val="Arial"/>
      <family val="2"/>
    </font>
    <font>
      <b/>
      <sz val="10"/>
      <color indexed="5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4" fillId="0" borderId="0">
      <alignment/>
      <protection/>
    </xf>
    <xf numFmtId="0" fontId="31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 quotePrefix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5" fillId="33" borderId="0" xfId="0" applyFont="1" applyFill="1" applyAlignment="1">
      <alignment/>
    </xf>
    <xf numFmtId="0" fontId="16" fillId="0" borderId="0" xfId="0" applyFont="1" applyAlignment="1">
      <alignment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  <xf numFmtId="2" fontId="8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/>
    </xf>
    <xf numFmtId="0" fontId="13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12" fillId="0" borderId="10" xfId="0" applyNumberFormat="1" applyFont="1" applyBorder="1" applyAlignment="1">
      <alignment/>
    </xf>
    <xf numFmtId="0" fontId="15" fillId="33" borderId="10" xfId="0" applyFont="1" applyFill="1" applyBorder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2" fontId="16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2" fontId="5" fillId="0" borderId="10" xfId="0" applyNumberFormat="1" applyFont="1" applyBorder="1" applyAlignment="1">
      <alignment/>
    </xf>
    <xf numFmtId="2" fontId="16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8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8" fillId="0" borderId="12" xfId="0" applyFont="1" applyBorder="1" applyAlignment="1">
      <alignment/>
    </xf>
    <xf numFmtId="2" fontId="5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13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2" fontId="16" fillId="0" borderId="12" xfId="0" applyNumberFormat="1" applyFont="1" applyBorder="1" applyAlignment="1">
      <alignment/>
    </xf>
    <xf numFmtId="0" fontId="15" fillId="0" borderId="10" xfId="0" applyFont="1" applyBorder="1" applyAlignment="1">
      <alignment/>
    </xf>
    <xf numFmtId="2" fontId="15" fillId="0" borderId="10" xfId="0" applyNumberFormat="1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0" xfId="0" applyFont="1" applyBorder="1" applyAlignment="1">
      <alignment horizontal="right"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2" fontId="0" fillId="34" borderId="10" xfId="0" applyNumberFormat="1" applyFill="1" applyBorder="1" applyAlignment="1">
      <alignment/>
    </xf>
    <xf numFmtId="2" fontId="19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25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2" fontId="12" fillId="34" borderId="10" xfId="0" applyNumberFormat="1" applyFont="1" applyFill="1" applyBorder="1" applyAlignment="1">
      <alignment/>
    </xf>
    <xf numFmtId="2" fontId="12" fillId="34" borderId="0" xfId="0" applyNumberFormat="1" applyFont="1" applyFill="1" applyAlignment="1">
      <alignment/>
    </xf>
    <xf numFmtId="2" fontId="25" fillId="34" borderId="10" xfId="0" applyNumberFormat="1" applyFont="1" applyFill="1" applyBorder="1" applyAlignment="1">
      <alignment/>
    </xf>
    <xf numFmtId="0" fontId="25" fillId="34" borderId="0" xfId="0" applyFont="1" applyFill="1" applyAlignment="1">
      <alignment/>
    </xf>
    <xf numFmtId="0" fontId="25" fillId="34" borderId="10" xfId="0" applyFont="1" applyFill="1" applyBorder="1" applyAlignment="1">
      <alignment/>
    </xf>
    <xf numFmtId="0" fontId="26" fillId="35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2" fontId="27" fillId="35" borderId="10" xfId="0" applyNumberFormat="1" applyFont="1" applyFill="1" applyBorder="1" applyAlignment="1">
      <alignment/>
    </xf>
    <xf numFmtId="0" fontId="27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13" fillId="0" borderId="0" xfId="0" applyFont="1" applyAlignment="1">
      <alignment/>
    </xf>
    <xf numFmtId="4" fontId="28" fillId="33" borderId="14" xfId="53" applyNumberFormat="1" applyFont="1" applyFill="1" applyBorder="1" applyAlignment="1">
      <alignment horizontal="right" vertical="top" wrapText="1"/>
      <protection/>
    </xf>
    <xf numFmtId="0" fontId="29" fillId="0" borderId="0" xfId="0" applyFont="1" applyAlignment="1">
      <alignment/>
    </xf>
    <xf numFmtId="0" fontId="19" fillId="36" borderId="0" xfId="0" applyFont="1" applyFill="1" applyAlignment="1">
      <alignment/>
    </xf>
    <xf numFmtId="4" fontId="19" fillId="36" borderId="0" xfId="0" applyNumberFormat="1" applyFont="1" applyFill="1" applyAlignment="1">
      <alignment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shrinkToFit="1"/>
    </xf>
    <xf numFmtId="0" fontId="0" fillId="0" borderId="10" xfId="0" applyBorder="1" applyAlignment="1">
      <alignment wrapText="1" shrinkToFi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horizontal="center" wrapText="1" shrinkToFit="1"/>
    </xf>
    <xf numFmtId="0" fontId="0" fillId="0" borderId="10" xfId="0" applyBorder="1" applyAlignment="1">
      <alignment horizontal="center" shrinkToFi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2" fontId="12" fillId="33" borderId="0" xfId="0" applyNumberFormat="1" applyFont="1" applyFill="1" applyAlignment="1">
      <alignment/>
    </xf>
    <xf numFmtId="2" fontId="25" fillId="33" borderId="10" xfId="0" applyNumberFormat="1" applyFont="1" applyFill="1" applyBorder="1" applyAlignment="1">
      <alignment/>
    </xf>
    <xf numFmtId="0" fontId="25" fillId="33" borderId="0" xfId="0" applyFont="1" applyFill="1" applyAlignment="1">
      <alignment/>
    </xf>
    <xf numFmtId="0" fontId="0" fillId="33" borderId="10" xfId="0" applyFill="1" applyBorder="1" applyAlignment="1">
      <alignment/>
    </xf>
    <xf numFmtId="2" fontId="19" fillId="33" borderId="0" xfId="0" applyNumberFormat="1" applyFont="1" applyFill="1" applyAlignment="1">
      <alignment/>
    </xf>
    <xf numFmtId="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26" fillId="33" borderId="10" xfId="0" applyFont="1" applyFill="1" applyBorder="1" applyAlignment="1">
      <alignment/>
    </xf>
    <xf numFmtId="2" fontId="27" fillId="33" borderId="10" xfId="0" applyNumberFormat="1" applyFont="1" applyFill="1" applyBorder="1" applyAlignment="1">
      <alignment/>
    </xf>
    <xf numFmtId="0" fontId="27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8" fillId="0" borderId="11" xfId="0" applyFont="1" applyBorder="1" applyAlignment="1">
      <alignment/>
    </xf>
    <xf numFmtId="0" fontId="12" fillId="34" borderId="11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2" fontId="12" fillId="34" borderId="11" xfId="0" applyNumberFormat="1" applyFont="1" applyFill="1" applyBorder="1" applyAlignment="1">
      <alignment/>
    </xf>
    <xf numFmtId="0" fontId="25" fillId="34" borderId="12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2" fontId="27" fillId="35" borderId="11" xfId="0" applyNumberFormat="1" applyFont="1" applyFill="1" applyBorder="1" applyAlignment="1">
      <alignment/>
    </xf>
    <xf numFmtId="0" fontId="27" fillId="35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2" fontId="12" fillId="34" borderId="1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15" xfId="0" applyFont="1" applyBorder="1" applyAlignment="1">
      <alignment/>
    </xf>
    <xf numFmtId="0" fontId="0" fillId="0" borderId="16" xfId="0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center"/>
    </xf>
    <xf numFmtId="0" fontId="20" fillId="0" borderId="17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8" fillId="0" borderId="17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2" fontId="8" fillId="0" borderId="12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wrapText="1" shrinkToFit="1"/>
    </xf>
    <xf numFmtId="0" fontId="0" fillId="0" borderId="13" xfId="0" applyBorder="1" applyAlignment="1">
      <alignment horizontal="center" wrapText="1" shrinkToFit="1"/>
    </xf>
    <xf numFmtId="0" fontId="0" fillId="0" borderId="12" xfId="0" applyBorder="1" applyAlignment="1">
      <alignment horizontal="center" wrapText="1" shrinkToFit="1"/>
    </xf>
    <xf numFmtId="0" fontId="22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83"/>
  <sheetViews>
    <sheetView zoomScalePageLayoutView="0" workbookViewId="0" topLeftCell="A1">
      <selection activeCell="X2" sqref="X2"/>
    </sheetView>
  </sheetViews>
  <sheetFormatPr defaultColWidth="9.00390625" defaultRowHeight="12.75"/>
  <cols>
    <col min="5" max="5" width="15.875" style="0" customWidth="1"/>
    <col min="6" max="6" width="8.875" style="8" customWidth="1"/>
    <col min="7" max="7" width="9.50390625" style="8" bestFit="1" customWidth="1"/>
    <col min="8" max="8" width="12.125" style="0" hidden="1" customWidth="1"/>
    <col min="9" max="9" width="10.50390625" style="0" hidden="1" customWidth="1"/>
    <col min="10" max="10" width="10.625" style="0" hidden="1" customWidth="1"/>
    <col min="11" max="11" width="10.00390625" style="0" hidden="1" customWidth="1"/>
    <col min="12" max="12" width="8.875" style="0" hidden="1" customWidth="1"/>
    <col min="13" max="13" width="9.75390625" style="0" hidden="1" customWidth="1"/>
    <col min="14" max="14" width="10.50390625" style="0" hidden="1" customWidth="1"/>
    <col min="15" max="15" width="9.50390625" style="0" hidden="1" customWidth="1"/>
    <col min="16" max="16" width="9.625" style="0" hidden="1" customWidth="1"/>
    <col min="17" max="18" width="9.50390625" style="0" hidden="1" customWidth="1"/>
    <col min="19" max="19" width="8.875" style="0" hidden="1" customWidth="1"/>
    <col min="20" max="20" width="14.00390625" style="11" customWidth="1"/>
    <col min="21" max="21" width="10.625" style="13" customWidth="1"/>
    <col min="24" max="24" width="10.50390625" style="0" bestFit="1" customWidth="1"/>
  </cols>
  <sheetData>
    <row r="2" ht="19.5" customHeight="1">
      <c r="B2" s="7" t="s">
        <v>56</v>
      </c>
    </row>
    <row r="3" spans="2:3" ht="22.5" customHeight="1">
      <c r="B3" s="5"/>
      <c r="C3" s="7" t="s">
        <v>101</v>
      </c>
    </row>
    <row r="5" spans="1:6" ht="12.75">
      <c r="A5" t="s">
        <v>31</v>
      </c>
      <c r="F5" s="8" t="s">
        <v>32</v>
      </c>
    </row>
    <row r="6" spans="1:6" ht="12.75">
      <c r="A6" t="s">
        <v>33</v>
      </c>
      <c r="F6" s="8" t="s">
        <v>34</v>
      </c>
    </row>
    <row r="7" spans="1:6" ht="12.75">
      <c r="A7" t="s">
        <v>40</v>
      </c>
      <c r="F7" s="8" t="s">
        <v>35</v>
      </c>
    </row>
    <row r="8" spans="6:24" ht="12.75">
      <c r="F8" s="8" t="s">
        <v>36</v>
      </c>
      <c r="X8" s="4">
        <f>T17+T20+T21</f>
        <v>1185006.45</v>
      </c>
    </row>
    <row r="9" spans="6:25" ht="12.75">
      <c r="F9" s="8" t="s">
        <v>37</v>
      </c>
      <c r="G9" s="8" t="s">
        <v>38</v>
      </c>
      <c r="X9">
        <f>52992+18000+300+125419.8+5748+2008+1035</f>
        <v>205502.8</v>
      </c>
      <c r="Y9">
        <f>360000+207040+8720.41+8509+20056+30000+21444.67+2787.81+7334</f>
        <v>665891.8900000001</v>
      </c>
    </row>
    <row r="10" ht="12.75">
      <c r="A10" s="6" t="s">
        <v>39</v>
      </c>
    </row>
    <row r="11" ht="12.75" hidden="1"/>
    <row r="12" spans="1:10" ht="21">
      <c r="A12" s="120" t="s">
        <v>0</v>
      </c>
      <c r="B12" s="120"/>
      <c r="C12" s="120"/>
      <c r="D12" s="120"/>
      <c r="E12" s="120"/>
      <c r="F12" s="120"/>
      <c r="G12" s="120"/>
      <c r="H12" s="120"/>
      <c r="I12" s="120"/>
      <c r="J12" s="120"/>
    </row>
    <row r="13" spans="1:11" ht="15">
      <c r="A13" s="121" t="s">
        <v>130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</row>
    <row r="14" ht="3" customHeight="1">
      <c r="J14" s="3"/>
    </row>
    <row r="15" spans="1:20" ht="14.25" customHeight="1">
      <c r="A15" s="119" t="s">
        <v>2</v>
      </c>
      <c r="B15" s="119"/>
      <c r="C15" s="119"/>
      <c r="D15" s="15"/>
      <c r="E15" s="15"/>
      <c r="F15" s="16"/>
      <c r="G15" s="16" t="s">
        <v>105</v>
      </c>
      <c r="H15" s="15" t="s">
        <v>65</v>
      </c>
      <c r="I15" s="15" t="s">
        <v>66</v>
      </c>
      <c r="J15" s="17" t="s">
        <v>67</v>
      </c>
      <c r="K15" s="15" t="s">
        <v>68</v>
      </c>
      <c r="L15" s="15" t="s">
        <v>69</v>
      </c>
      <c r="M15" s="15" t="s">
        <v>70</v>
      </c>
      <c r="N15" s="15" t="s">
        <v>72</v>
      </c>
      <c r="O15" s="15" t="s">
        <v>73</v>
      </c>
      <c r="P15" s="15" t="s">
        <v>74</v>
      </c>
      <c r="Q15" s="15" t="s">
        <v>86</v>
      </c>
      <c r="R15" s="15" t="s">
        <v>87</v>
      </c>
      <c r="S15" s="15" t="s">
        <v>88</v>
      </c>
      <c r="T15" s="18" t="s">
        <v>106</v>
      </c>
    </row>
    <row r="16" spans="1:20" ht="9" customHeight="1">
      <c r="A16" s="15"/>
      <c r="B16" s="15"/>
      <c r="C16" s="15"/>
      <c r="D16" s="15"/>
      <c r="E16" s="15"/>
      <c r="F16" s="16"/>
      <c r="G16" s="16"/>
      <c r="H16" s="15"/>
      <c r="I16" s="15"/>
      <c r="J16" s="17"/>
      <c r="K16" s="15"/>
      <c r="L16" s="15"/>
      <c r="M16" s="15"/>
      <c r="N16" s="15"/>
      <c r="O16" s="15"/>
      <c r="P16" s="15"/>
      <c r="Q16" s="15"/>
      <c r="R16" s="15"/>
      <c r="S16" s="15"/>
      <c r="T16" s="18"/>
    </row>
    <row r="17" spans="1:21" ht="12.75">
      <c r="A17" s="15">
        <v>1</v>
      </c>
      <c r="B17" s="118" t="s">
        <v>3</v>
      </c>
      <c r="C17" s="118"/>
      <c r="D17" s="118"/>
      <c r="E17" s="118"/>
      <c r="F17" s="113">
        <v>1153560</v>
      </c>
      <c r="G17" s="113"/>
      <c r="H17" s="15">
        <f>5430+3000+14000+4800+54400+2500+4500</f>
        <v>88630</v>
      </c>
      <c r="I17" s="15">
        <f>14000+3000+4800+54400+5430+15000+2500+4500</f>
        <v>103630</v>
      </c>
      <c r="J17" s="17">
        <f>54400+14000+5430+3000+2500+4500</f>
        <v>83830</v>
      </c>
      <c r="K17" s="15">
        <f>14000+54400+4800+3000+15000+5430+4500</f>
        <v>101130</v>
      </c>
      <c r="L17" s="15">
        <f>54400+14000+3000+5430+4800+2500+4500</f>
        <v>88630</v>
      </c>
      <c r="M17" s="15">
        <f>14000+3000+54400+5430+15000+2500+4500</f>
        <v>98830</v>
      </c>
      <c r="N17" s="15">
        <f>14000+5430+3000+9600+54400+4800+14000+4500</f>
        <v>109730</v>
      </c>
      <c r="O17" s="15">
        <f>54400+3000+15000+5430+2500+4500</f>
        <v>84830</v>
      </c>
      <c r="P17" s="15">
        <f>54400+3000+5430+14000+4800+2500+4500</f>
        <v>88630</v>
      </c>
      <c r="Q17" s="15">
        <f>54400+3000+14000+9930+4800+15000+2500</f>
        <v>103630</v>
      </c>
      <c r="R17" s="15">
        <f>4800+3000+54400+14000+9930+2500</f>
        <v>88630</v>
      </c>
      <c r="S17" s="15">
        <f>3000+4800+54400+14000+15000+9930+14000</f>
        <v>115130</v>
      </c>
      <c r="T17" s="31">
        <f>H17+I17+J17+K17+L17+M17+N17+O17+P17+Q17+R17+S17</f>
        <v>1155260</v>
      </c>
      <c r="U17" s="36">
        <f>F17-T17</f>
        <v>-1700</v>
      </c>
    </row>
    <row r="18" spans="1:21" ht="12.75">
      <c r="A18" s="15">
        <v>2</v>
      </c>
      <c r="B18" s="118" t="s">
        <v>4</v>
      </c>
      <c r="C18" s="118"/>
      <c r="D18" s="118"/>
      <c r="E18" s="118"/>
      <c r="F18" s="113">
        <v>1521893</v>
      </c>
      <c r="G18" s="113"/>
      <c r="H18" s="15">
        <f>15072.95+74552.37</f>
        <v>89625.31999999999</v>
      </c>
      <c r="I18" s="15">
        <f>23923.96+89255.23</f>
        <v>113179.19</v>
      </c>
      <c r="J18" s="17">
        <f>18285.51+126337.63</f>
        <v>144623.14</v>
      </c>
      <c r="K18" s="15">
        <f>18151.18+91083.13</f>
        <v>109234.31</v>
      </c>
      <c r="L18" s="15">
        <f>19032.85+90270.88</f>
        <v>109303.73000000001</v>
      </c>
      <c r="M18" s="15">
        <f>14878.34+107571.71</f>
        <v>122450.05</v>
      </c>
      <c r="N18" s="15">
        <f>17768.88+96621.78</f>
        <v>114390.66</v>
      </c>
      <c r="O18" s="15">
        <f>16960.95+114871.75</f>
        <v>131832.7</v>
      </c>
      <c r="P18" s="15">
        <f>14505.87+106985.73</f>
        <v>121491.59999999999</v>
      </c>
      <c r="Q18" s="15">
        <f>17338.08+116367.67</f>
        <v>133705.75</v>
      </c>
      <c r="R18" s="15">
        <f>19239.79+119685.74</f>
        <v>138925.53</v>
      </c>
      <c r="S18" s="15">
        <f>17086.12+112223.12+118186.33</f>
        <v>247495.57</v>
      </c>
      <c r="T18" s="31">
        <f>H18+I18+J18+K18+L18+M18+N18+O18+P18+Q18+R18+S18</f>
        <v>1576257.5500000003</v>
      </c>
      <c r="U18" s="36">
        <f>F18-T18</f>
        <v>-54364.55000000028</v>
      </c>
    </row>
    <row r="19" spans="1:21" ht="12.75">
      <c r="A19" s="15">
        <v>3</v>
      </c>
      <c r="B19" s="118" t="s">
        <v>5</v>
      </c>
      <c r="C19" s="118"/>
      <c r="D19" s="118"/>
      <c r="E19" s="118"/>
      <c r="F19" s="113">
        <v>217060</v>
      </c>
      <c r="G19" s="113"/>
      <c r="H19" s="15">
        <f>13126.39</f>
        <v>13126.39</v>
      </c>
      <c r="I19" s="15">
        <v>14473.12</v>
      </c>
      <c r="J19" s="17">
        <v>19996.08</v>
      </c>
      <c r="K19" s="15">
        <v>15715.02</v>
      </c>
      <c r="L19" s="15">
        <v>16372.55</v>
      </c>
      <c r="M19" s="15">
        <v>17714.58</v>
      </c>
      <c r="N19" s="15">
        <v>15860.27</v>
      </c>
      <c r="O19" s="15">
        <v>18794.45</v>
      </c>
      <c r="P19" s="15">
        <v>17567.89</v>
      </c>
      <c r="Q19" s="15">
        <v>18919.11</v>
      </c>
      <c r="R19" s="15">
        <v>19807.36</v>
      </c>
      <c r="S19" s="15">
        <f>18360.01+1250.27</f>
        <v>19610.28</v>
      </c>
      <c r="T19" s="31">
        <f>H19+I19+J19+K19+L19+M19+N19+O19+P19+Q19+R19+S19</f>
        <v>207957.1</v>
      </c>
      <c r="U19" s="36">
        <f>F19-T19</f>
        <v>9102.899999999994</v>
      </c>
    </row>
    <row r="20" spans="1:21" ht="12.75">
      <c r="A20" s="15">
        <v>4</v>
      </c>
      <c r="B20" s="19" t="s">
        <v>43</v>
      </c>
      <c r="C20" s="19"/>
      <c r="D20" s="19"/>
      <c r="E20" s="19"/>
      <c r="F20" s="20"/>
      <c r="G20" s="20">
        <f>53036</f>
        <v>53036</v>
      </c>
      <c r="H20" s="15">
        <f>552+700</f>
        <v>1252</v>
      </c>
      <c r="I20" s="15">
        <f>392.1</f>
        <v>392.1</v>
      </c>
      <c r="J20" s="17">
        <f>2400+1600+371.8+2400</f>
        <v>6771.8</v>
      </c>
      <c r="K20" s="15">
        <f>270.4+304.2+1175</f>
        <v>1749.6</v>
      </c>
      <c r="L20" s="15">
        <f>1600+439.4+2400</f>
        <v>4439.4</v>
      </c>
      <c r="M20" s="15">
        <f>574.6+323</f>
        <v>897.6</v>
      </c>
      <c r="N20" s="15">
        <f>1600+338</f>
        <v>1938</v>
      </c>
      <c r="O20" s="15"/>
      <c r="P20" s="15">
        <f>503.62</f>
        <v>503.62</v>
      </c>
      <c r="Q20" s="15">
        <f>405.6+3200+338</f>
        <v>3943.6</v>
      </c>
      <c r="R20" s="15">
        <f>338</f>
        <v>338</v>
      </c>
      <c r="S20" s="15">
        <f>155.48</f>
        <v>155.48</v>
      </c>
      <c r="T20" s="31">
        <f>H20+I20+J20+K20+L20+M20+N20+O20+P20+Q20+R20+S20</f>
        <v>22381.199999999997</v>
      </c>
      <c r="U20" s="36">
        <f>G20-T20</f>
        <v>30654.800000000003</v>
      </c>
    </row>
    <row r="21" spans="1:21" ht="12.75">
      <c r="A21" s="15">
        <v>5</v>
      </c>
      <c r="B21" s="112" t="s">
        <v>6</v>
      </c>
      <c r="C21" s="112"/>
      <c r="D21" s="112"/>
      <c r="E21" s="112"/>
      <c r="F21" s="113">
        <v>10000</v>
      </c>
      <c r="G21" s="113"/>
      <c r="H21" s="15">
        <f>929.78</f>
        <v>929.78</v>
      </c>
      <c r="I21" s="15">
        <v>945.11</v>
      </c>
      <c r="J21" s="17">
        <f>745.91</f>
        <v>745.91</v>
      </c>
      <c r="K21" s="15">
        <v>815.53</v>
      </c>
      <c r="L21" s="15">
        <v>727.4</v>
      </c>
      <c r="M21" s="15">
        <v>650.69</v>
      </c>
      <c r="N21" s="15">
        <v>551.01</v>
      </c>
      <c r="O21" s="15">
        <v>490.16</v>
      </c>
      <c r="P21" s="15">
        <v>478.96</v>
      </c>
      <c r="Q21" s="15"/>
      <c r="R21" s="15">
        <v>486.29</v>
      </c>
      <c r="S21" s="15">
        <v>544.41</v>
      </c>
      <c r="T21" s="31">
        <f>H21+I21+J21+K21+L21+M21+N21+O21+P21+Q21+R21+S21</f>
        <v>7365.25</v>
      </c>
      <c r="U21" s="36">
        <f>F21-T21</f>
        <v>2634.75</v>
      </c>
    </row>
    <row r="22" spans="1:21" ht="12.75">
      <c r="A22" s="15">
        <v>6</v>
      </c>
      <c r="B22" s="112" t="s">
        <v>41</v>
      </c>
      <c r="C22" s="112"/>
      <c r="D22" s="112"/>
      <c r="E22" s="112"/>
      <c r="F22" s="113">
        <v>903.14</v>
      </c>
      <c r="G22" s="113"/>
      <c r="H22" s="15"/>
      <c r="I22" s="15"/>
      <c r="J22" s="17"/>
      <c r="K22" s="15"/>
      <c r="L22" s="15"/>
      <c r="M22" s="15"/>
      <c r="N22" s="15"/>
      <c r="O22" s="15"/>
      <c r="P22" s="15"/>
      <c r="Q22" s="15"/>
      <c r="R22" s="15"/>
      <c r="S22" s="15"/>
      <c r="T22" s="31">
        <v>903.14</v>
      </c>
      <c r="U22" s="36"/>
    </row>
    <row r="23" spans="1:21" ht="12.75">
      <c r="A23" s="15">
        <v>7</v>
      </c>
      <c r="B23" s="21" t="s">
        <v>42</v>
      </c>
      <c r="C23" s="21"/>
      <c r="D23" s="21"/>
      <c r="E23" s="21"/>
      <c r="F23" s="113">
        <v>2290973.55</v>
      </c>
      <c r="G23" s="113"/>
      <c r="H23" s="15"/>
      <c r="I23" s="15"/>
      <c r="J23" s="22"/>
      <c r="K23" s="15"/>
      <c r="L23" s="15"/>
      <c r="M23" s="15"/>
      <c r="N23" s="15"/>
      <c r="O23" s="15"/>
      <c r="P23" s="15"/>
      <c r="Q23" s="15"/>
      <c r="R23" s="15"/>
      <c r="S23" s="15"/>
      <c r="T23" s="31">
        <v>2290973.55</v>
      </c>
      <c r="U23" s="36" t="s">
        <v>89</v>
      </c>
    </row>
    <row r="24" spans="1:21" ht="12.75">
      <c r="A24" s="15"/>
      <c r="B24" s="114" t="s">
        <v>8</v>
      </c>
      <c r="C24" s="114"/>
      <c r="D24" s="114"/>
      <c r="E24" s="114"/>
      <c r="F24" s="113">
        <f>SUM(F17:F23)</f>
        <v>5194389.6899999995</v>
      </c>
      <c r="G24" s="113"/>
      <c r="H24" s="23">
        <f aca="true" t="shared" si="0" ref="H24:P24">SUM(H17:H23)</f>
        <v>193563.49000000002</v>
      </c>
      <c r="I24" s="23">
        <f t="shared" si="0"/>
        <v>232619.52</v>
      </c>
      <c r="J24" s="23">
        <f t="shared" si="0"/>
        <v>255966.93000000002</v>
      </c>
      <c r="K24" s="23">
        <f t="shared" si="0"/>
        <v>228644.46</v>
      </c>
      <c r="L24" s="23">
        <f t="shared" si="0"/>
        <v>219473.08</v>
      </c>
      <c r="M24" s="23">
        <f t="shared" si="0"/>
        <v>240542.92</v>
      </c>
      <c r="N24" s="23">
        <f t="shared" si="0"/>
        <v>242469.94</v>
      </c>
      <c r="O24" s="23">
        <f t="shared" si="0"/>
        <v>235947.31000000003</v>
      </c>
      <c r="P24" s="23">
        <f t="shared" si="0"/>
        <v>228672.06999999998</v>
      </c>
      <c r="Q24" s="23">
        <f>SUM(Q17:Q23)</f>
        <v>260198.46</v>
      </c>
      <c r="R24" s="23">
        <f>SUM(R17:R23)</f>
        <v>248187.18000000002</v>
      </c>
      <c r="S24" s="23">
        <f>SUM(S17:S23)</f>
        <v>382935.73999999993</v>
      </c>
      <c r="T24" s="31">
        <f>H24+I24+J24+K24+L24+M24+N24+O24+P24+Q24+R24+S24+T23+T22</f>
        <v>5261097.79</v>
      </c>
      <c r="U24" s="36">
        <f>F24-T24</f>
        <v>-66708.10000000056</v>
      </c>
    </row>
    <row r="25" spans="1:21" ht="6" customHeight="1">
      <c r="A25" s="15"/>
      <c r="B25" s="15"/>
      <c r="C25" s="15"/>
      <c r="D25" s="15"/>
      <c r="E25" s="15"/>
      <c r="F25" s="16"/>
      <c r="G25" s="16"/>
      <c r="H25" s="15"/>
      <c r="I25" s="15"/>
      <c r="J25" s="22"/>
      <c r="K25" s="15"/>
      <c r="L25" s="15"/>
      <c r="M25" s="15"/>
      <c r="N25" s="15"/>
      <c r="O25" s="15"/>
      <c r="P25" s="15"/>
      <c r="Q25" s="15"/>
      <c r="R25" s="15"/>
      <c r="S25" s="15"/>
      <c r="T25" s="18"/>
      <c r="U25" s="30"/>
    </row>
    <row r="26" spans="1:21" ht="15" customHeight="1">
      <c r="A26" s="119" t="s">
        <v>9</v>
      </c>
      <c r="B26" s="119"/>
      <c r="C26" s="119"/>
      <c r="D26" s="15"/>
      <c r="E26" s="15"/>
      <c r="F26" s="16"/>
      <c r="G26" s="16"/>
      <c r="H26" s="15" t="s">
        <v>65</v>
      </c>
      <c r="I26" s="15"/>
      <c r="J26" s="22"/>
      <c r="K26" s="15"/>
      <c r="L26" s="15"/>
      <c r="M26" s="15"/>
      <c r="N26" s="15"/>
      <c r="O26" s="15"/>
      <c r="P26" s="15"/>
      <c r="Q26" s="15"/>
      <c r="R26" s="15"/>
      <c r="S26" s="15"/>
      <c r="T26" s="18"/>
      <c r="U26" s="30"/>
    </row>
    <row r="27" spans="1:21" ht="8.25" customHeight="1">
      <c r="A27" s="15"/>
      <c r="B27" s="15"/>
      <c r="C27" s="15"/>
      <c r="D27" s="15"/>
      <c r="E27" s="15"/>
      <c r="F27" s="16"/>
      <c r="G27" s="16"/>
      <c r="H27" s="15"/>
      <c r="I27" s="15"/>
      <c r="J27" s="22"/>
      <c r="K27" s="15"/>
      <c r="L27" s="15"/>
      <c r="M27" s="15"/>
      <c r="N27" s="15"/>
      <c r="O27" s="15"/>
      <c r="P27" s="15"/>
      <c r="Q27" s="15"/>
      <c r="R27" s="15"/>
      <c r="S27" s="15"/>
      <c r="T27" s="18"/>
      <c r="U27" s="30"/>
    </row>
    <row r="28" spans="1:21" ht="12.75">
      <c r="A28" s="15">
        <v>1</v>
      </c>
      <c r="B28" s="118" t="s">
        <v>10</v>
      </c>
      <c r="C28" s="118"/>
      <c r="D28" s="118"/>
      <c r="E28" s="118"/>
      <c r="F28" s="113">
        <v>877690</v>
      </c>
      <c r="G28" s="113"/>
      <c r="H28" s="22">
        <f>59600</f>
        <v>59600</v>
      </c>
      <c r="I28" s="22">
        <f>69940</f>
        <v>69940</v>
      </c>
      <c r="J28" s="22">
        <f>4000+3001+64020-15500</f>
        <v>55521</v>
      </c>
      <c r="K28" s="34">
        <f>69240</f>
        <v>69240</v>
      </c>
      <c r="L28" s="22">
        <f>10005+4000+8000+66630+3045-4598-4598</f>
        <v>82484</v>
      </c>
      <c r="M28" s="22">
        <f>7865+66630</f>
        <v>74495</v>
      </c>
      <c r="N28" s="22">
        <f>9307+5454+66917</f>
        <v>81678</v>
      </c>
      <c r="O28" s="22">
        <f>30216+30000+42000+70104-103960</f>
        <v>68360</v>
      </c>
      <c r="P28" s="22">
        <f>9000+72630</f>
        <v>81630</v>
      </c>
      <c r="Q28" s="22">
        <v>72630</v>
      </c>
      <c r="R28" s="22">
        <f>4000+20000+78230-22989</f>
        <v>79241</v>
      </c>
      <c r="S28" s="22">
        <f>10000+70561</f>
        <v>80561</v>
      </c>
      <c r="T28" s="31">
        <f>H28+I28+J28+K28+L28+M28+N28+O28+P28+Q28+R28+S28</f>
        <v>875380</v>
      </c>
      <c r="U28" s="29">
        <f>F28-T28</f>
        <v>2310</v>
      </c>
    </row>
    <row r="29" spans="1:21" ht="12.75">
      <c r="A29" s="15">
        <v>2</v>
      </c>
      <c r="B29" s="19" t="s">
        <v>64</v>
      </c>
      <c r="C29" s="19"/>
      <c r="D29" s="19"/>
      <c r="E29" s="19"/>
      <c r="F29" s="113">
        <v>70000</v>
      </c>
      <c r="G29" s="115"/>
      <c r="H29" s="15"/>
      <c r="I29" s="15"/>
      <c r="J29" s="17">
        <f>15500</f>
        <v>15500</v>
      </c>
      <c r="K29" s="24"/>
      <c r="L29" s="15"/>
      <c r="M29" s="15"/>
      <c r="N29" s="15"/>
      <c r="O29" s="15"/>
      <c r="P29" s="15"/>
      <c r="Q29" s="15"/>
      <c r="R29" s="15"/>
      <c r="S29" s="15"/>
      <c r="T29" s="31">
        <f aca="true" t="shared" si="1" ref="T29:T52">H29+I29+J29+K29+L29+M29+N29+O29+P29+Q29+R29+S29</f>
        <v>15500</v>
      </c>
      <c r="U29" s="29">
        <f>F29-T29</f>
        <v>54500</v>
      </c>
    </row>
    <row r="30" spans="1:21" ht="12.75">
      <c r="A30" s="15">
        <f>A29+1</f>
        <v>3</v>
      </c>
      <c r="B30" s="118" t="s">
        <v>11</v>
      </c>
      <c r="C30" s="118"/>
      <c r="D30" s="118"/>
      <c r="E30" s="118"/>
      <c r="F30" s="113">
        <v>324110</v>
      </c>
      <c r="G30" s="113"/>
      <c r="H30" s="22">
        <f>1252+1788+14168+5200</f>
        <v>22408</v>
      </c>
      <c r="I30" s="22">
        <f>596+0.7+8.3+52.9+756+803+2168+16663</f>
        <v>21047.9</v>
      </c>
      <c r="J30" s="22">
        <f>630+1429+1509+2215+17073</f>
        <v>22856</v>
      </c>
      <c r="K30" s="22">
        <f>1400+1410+2030+2171+16795</f>
        <v>23806</v>
      </c>
      <c r="L30" s="22">
        <f>1862+2700+2887+22800+1410</f>
        <v>31659</v>
      </c>
      <c r="M30" s="22">
        <f>70+102+108+911+1027+1295+1410+1553+12102</f>
        <v>18578</v>
      </c>
      <c r="N30" s="22">
        <f>1539+1890+2248.54+2283+18133</f>
        <v>26093.54</v>
      </c>
      <c r="O30" s="22">
        <f>3340+4864+5078+7151+36320-7192.32</f>
        <v>49560.68</v>
      </c>
      <c r="P30" s="22">
        <f>1563+1780+2288+2324+18601</f>
        <v>26556</v>
      </c>
      <c r="Q30" s="22">
        <f>1355+1769+1987+2002+15910</f>
        <v>23023</v>
      </c>
      <c r="R30" s="22">
        <f>1770+1918+2802+2874+23215</f>
        <v>32579</v>
      </c>
      <c r="S30" s="22">
        <f>1518+1770+2221+2256+18010</f>
        <v>25775</v>
      </c>
      <c r="T30" s="31">
        <f t="shared" si="1"/>
        <v>323942.12</v>
      </c>
      <c r="U30" s="29">
        <f aca="true" t="shared" si="2" ref="U30:U51">F30-T30</f>
        <v>167.88000000000466</v>
      </c>
    </row>
    <row r="31" spans="1:21" ht="12.75">
      <c r="A31" s="15">
        <f aca="true" t="shared" si="3" ref="A31:A51">A30+1</f>
        <v>4</v>
      </c>
      <c r="B31" s="118" t="s">
        <v>12</v>
      </c>
      <c r="C31" s="118"/>
      <c r="D31" s="118"/>
      <c r="E31" s="118"/>
      <c r="F31" s="113">
        <v>104746</v>
      </c>
      <c r="G31" s="113"/>
      <c r="H31" s="22">
        <v>7748</v>
      </c>
      <c r="I31" s="22">
        <v>9092</v>
      </c>
      <c r="J31" s="22">
        <v>9291</v>
      </c>
      <c r="K31" s="22">
        <v>9103</v>
      </c>
      <c r="L31" s="22">
        <v>12105</v>
      </c>
      <c r="M31" s="22">
        <v>8713</v>
      </c>
      <c r="N31" s="22">
        <v>10669</v>
      </c>
      <c r="O31" s="22">
        <f>22387-28362</f>
        <v>-5975</v>
      </c>
      <c r="P31" s="22">
        <v>10838</v>
      </c>
      <c r="Q31" s="22">
        <v>9493</v>
      </c>
      <c r="R31" s="22">
        <v>13145</v>
      </c>
      <c r="S31" s="22">
        <v>10524</v>
      </c>
      <c r="T31" s="31">
        <f t="shared" si="1"/>
        <v>104746</v>
      </c>
      <c r="U31" s="29">
        <f t="shared" si="2"/>
        <v>0</v>
      </c>
    </row>
    <row r="32" spans="1:21" ht="12.75">
      <c r="A32" s="15">
        <f t="shared" si="3"/>
        <v>5</v>
      </c>
      <c r="B32" s="112" t="s">
        <v>76</v>
      </c>
      <c r="C32" s="112"/>
      <c r="D32" s="112"/>
      <c r="E32" s="112"/>
      <c r="F32" s="113">
        <v>176806</v>
      </c>
      <c r="G32" s="113"/>
      <c r="H32" s="15"/>
      <c r="I32" s="15"/>
      <c r="J32" s="22">
        <v>15148</v>
      </c>
      <c r="K32" s="22">
        <v>18500</v>
      </c>
      <c r="L32" s="15"/>
      <c r="M32" s="15"/>
      <c r="N32" s="15"/>
      <c r="O32" s="15"/>
      <c r="P32" s="15"/>
      <c r="Q32" s="15"/>
      <c r="R32" s="15"/>
      <c r="S32" s="15"/>
      <c r="T32" s="31">
        <f t="shared" si="1"/>
        <v>33648</v>
      </c>
      <c r="U32" s="29">
        <f t="shared" si="2"/>
        <v>143158</v>
      </c>
    </row>
    <row r="33" spans="1:21" ht="12.75">
      <c r="A33" s="15">
        <f t="shared" si="3"/>
        <v>6</v>
      </c>
      <c r="B33" s="112" t="s">
        <v>14</v>
      </c>
      <c r="C33" s="112"/>
      <c r="D33" s="112"/>
      <c r="E33" s="112"/>
      <c r="F33" s="113">
        <v>80000</v>
      </c>
      <c r="G33" s="113"/>
      <c r="H33" s="15"/>
      <c r="I33" s="15"/>
      <c r="J33" s="17"/>
      <c r="K33" s="22">
        <f>6056.96</f>
        <v>6056.96</v>
      </c>
      <c r="L33" s="22">
        <v>5195.06</v>
      </c>
      <c r="M33" s="22">
        <v>10900</v>
      </c>
      <c r="N33" s="22">
        <v>4346.71</v>
      </c>
      <c r="O33" s="22">
        <f>4600+3800</f>
        <v>8400</v>
      </c>
      <c r="P33" s="22">
        <v>5138.3</v>
      </c>
      <c r="Q33" s="22">
        <v>5103.73</v>
      </c>
      <c r="R33" s="22">
        <v>3728.14</v>
      </c>
      <c r="S33" s="22">
        <v>6665.36</v>
      </c>
      <c r="T33" s="31">
        <f t="shared" si="1"/>
        <v>55534.259999999995</v>
      </c>
      <c r="U33" s="29">
        <f t="shared" si="2"/>
        <v>24465.740000000005</v>
      </c>
    </row>
    <row r="34" spans="1:21" ht="12.75">
      <c r="A34" s="15">
        <f t="shared" si="3"/>
        <v>7</v>
      </c>
      <c r="B34" s="112" t="s">
        <v>15</v>
      </c>
      <c r="C34" s="112"/>
      <c r="D34" s="112"/>
      <c r="E34" s="112"/>
      <c r="F34" s="113">
        <v>10000</v>
      </c>
      <c r="G34" s="113"/>
      <c r="H34" s="22">
        <f>615.37+53.86</f>
        <v>669.23</v>
      </c>
      <c r="I34" s="22">
        <f>673.54+50.16</f>
        <v>723.6999999999999</v>
      </c>
      <c r="J34" s="22">
        <f>83.86</f>
        <v>83.86</v>
      </c>
      <c r="K34" s="22">
        <f>656.67+649.06+72.74</f>
        <v>1378.47</v>
      </c>
      <c r="L34" s="22">
        <f>69.66+731.44</f>
        <v>801.1</v>
      </c>
      <c r="M34" s="22">
        <f>66.04+631.3</f>
        <v>697.3399999999999</v>
      </c>
      <c r="N34" s="22">
        <f>89.76+669.36</f>
        <v>759.12</v>
      </c>
      <c r="O34" s="22">
        <f>91.6+633.84</f>
        <v>725.44</v>
      </c>
      <c r="P34" s="22">
        <f>676.97</f>
        <v>676.97</v>
      </c>
      <c r="Q34" s="22">
        <f>49.99+643.99</f>
        <v>693.98</v>
      </c>
      <c r="R34" s="22">
        <f>100.43+656.67</f>
        <v>757.0999999999999</v>
      </c>
      <c r="S34" s="22">
        <f>107.58+646.52</f>
        <v>754.1</v>
      </c>
      <c r="T34" s="31">
        <f t="shared" si="1"/>
        <v>8720.410000000002</v>
      </c>
      <c r="U34" s="29">
        <f t="shared" si="2"/>
        <v>1279.5899999999983</v>
      </c>
    </row>
    <row r="35" spans="1:21" ht="12.75">
      <c r="A35" s="15">
        <f t="shared" si="3"/>
        <v>8</v>
      </c>
      <c r="B35" s="112" t="s">
        <v>16</v>
      </c>
      <c r="C35" s="112"/>
      <c r="D35" s="112"/>
      <c r="E35" s="112"/>
      <c r="F35" s="113">
        <v>55000</v>
      </c>
      <c r="G35" s="113"/>
      <c r="H35" s="22">
        <f>1250+95+15+1600+50+50+1000</f>
        <v>4060</v>
      </c>
      <c r="I35" s="22">
        <f>50+30+2100+50+15+1000+1800+65+1000</f>
        <v>6110</v>
      </c>
      <c r="J35" s="22">
        <f>115+650+15+1250+65+1450+50+50+1300+1400+1000</f>
        <v>7345</v>
      </c>
      <c r="K35" s="22">
        <f>95+1200+65+50+100+65+1000+850+15+65+700+1000</f>
        <v>5205</v>
      </c>
      <c r="L35" s="22">
        <f>65+1000+15+65+30+1000+1000</f>
        <v>3175</v>
      </c>
      <c r="M35" s="22">
        <f>50+50+115+1300+15+800+50+30+65+950+50+1250+50+100+900+65+1000</f>
        <v>6840</v>
      </c>
      <c r="N35" s="22">
        <f>65+130+1000+15+50+1450+50+95+100+600+1000</f>
        <v>4555</v>
      </c>
      <c r="O35" s="22">
        <f>15+700+750+1150+175+130+800+165+850+1000</f>
        <v>5735</v>
      </c>
      <c r="P35" s="22">
        <f>15.3+84.7+91.52+300+508.48+115+650+15+1350+100+30+1000+65+1200+100+30+1000</f>
        <v>6655</v>
      </c>
      <c r="Q35" s="22">
        <f>15+1100+50+65+1500+15+30+1150+65+800+200+1000+1400</f>
        <v>7390</v>
      </c>
      <c r="R35" s="22">
        <f>15+130+1300+30+700+80+850+700+50+1100+1000</f>
        <v>5955</v>
      </c>
      <c r="S35" s="22">
        <f>45+750+150+1000+15+1100+130+165+1000+1000</f>
        <v>5355</v>
      </c>
      <c r="T35" s="31">
        <f t="shared" si="1"/>
        <v>68380</v>
      </c>
      <c r="U35" s="29">
        <f t="shared" si="2"/>
        <v>-13380</v>
      </c>
    </row>
    <row r="36" spans="1:21" ht="12.75">
      <c r="A36" s="15">
        <f t="shared" si="3"/>
        <v>9</v>
      </c>
      <c r="B36" s="112" t="s">
        <v>44</v>
      </c>
      <c r="C36" s="112"/>
      <c r="D36" s="112"/>
      <c r="E36" s="112"/>
      <c r="F36" s="113">
        <v>30000</v>
      </c>
      <c r="G36" s="113"/>
      <c r="H36" s="15"/>
      <c r="I36" s="15"/>
      <c r="J36" s="22">
        <f>534.6</f>
        <v>534.6</v>
      </c>
      <c r="K36" s="25"/>
      <c r="L36" s="15"/>
      <c r="M36" s="22">
        <f>444+25000</f>
        <v>25444</v>
      </c>
      <c r="N36" s="15"/>
      <c r="O36" s="15"/>
      <c r="P36" s="22">
        <f>444</f>
        <v>444</v>
      </c>
      <c r="Q36" s="15"/>
      <c r="R36" s="15"/>
      <c r="S36" s="15"/>
      <c r="T36" s="31">
        <f t="shared" si="1"/>
        <v>26422.6</v>
      </c>
      <c r="U36" s="29">
        <f t="shared" si="2"/>
        <v>3577.4000000000015</v>
      </c>
    </row>
    <row r="37" spans="1:21" ht="12.75">
      <c r="A37" s="15">
        <f t="shared" si="3"/>
        <v>10</v>
      </c>
      <c r="B37" s="112" t="s">
        <v>45</v>
      </c>
      <c r="C37" s="112"/>
      <c r="D37" s="112"/>
      <c r="E37" s="112"/>
      <c r="F37" s="116">
        <v>50000</v>
      </c>
      <c r="G37" s="116"/>
      <c r="H37" s="22">
        <v>7499.15</v>
      </c>
      <c r="I37" s="15"/>
      <c r="J37" s="22">
        <v>3105</v>
      </c>
      <c r="K37" s="22">
        <f>3672.53+8273.24+3000-1150</f>
        <v>13795.77</v>
      </c>
      <c r="L37" s="22">
        <f>833.43+3000</f>
        <v>3833.43</v>
      </c>
      <c r="M37" s="22">
        <f>2895.67</f>
        <v>2895.67</v>
      </c>
      <c r="N37" s="22">
        <f>8320+3000+725.25+40000</f>
        <v>52045.25</v>
      </c>
      <c r="O37" s="22">
        <f>5815+15000+1270</f>
        <v>22085</v>
      </c>
      <c r="P37" s="22">
        <f>426+2990+3042.8+1225-0.2-3000</f>
        <v>4683.6</v>
      </c>
      <c r="Q37" s="15"/>
      <c r="R37" s="22">
        <f>350+1980+30000-30000-14000</f>
        <v>-11670</v>
      </c>
      <c r="S37" s="22">
        <f>454.45+1000</f>
        <v>1454.45</v>
      </c>
      <c r="T37" s="31">
        <f t="shared" si="1"/>
        <v>99727.31999999999</v>
      </c>
      <c r="U37" s="29">
        <f t="shared" si="2"/>
        <v>-49727.31999999999</v>
      </c>
    </row>
    <row r="38" spans="1:21" ht="12.75">
      <c r="A38" s="15">
        <f t="shared" si="3"/>
        <v>11</v>
      </c>
      <c r="B38" s="112" t="s">
        <v>46</v>
      </c>
      <c r="C38" s="112"/>
      <c r="D38" s="112"/>
      <c r="E38" s="112"/>
      <c r="F38" s="116">
        <v>10000</v>
      </c>
      <c r="G38" s="116"/>
      <c r="H38" s="22">
        <v>7422.18</v>
      </c>
      <c r="I38" s="15"/>
      <c r="J38" s="17"/>
      <c r="K38" s="25"/>
      <c r="L38" s="15" t="s">
        <v>89</v>
      </c>
      <c r="M38" s="15"/>
      <c r="N38" s="15"/>
      <c r="O38" s="15" t="s">
        <v>89</v>
      </c>
      <c r="P38" s="22">
        <f>11189.4+8749</f>
        <v>19938.4</v>
      </c>
      <c r="Q38" s="15"/>
      <c r="R38" s="15">
        <v>-17360.58</v>
      </c>
      <c r="S38" s="15"/>
      <c r="T38" s="31">
        <f>H38+P38+R38</f>
        <v>10000</v>
      </c>
      <c r="U38" s="29">
        <f t="shared" si="2"/>
        <v>0</v>
      </c>
    </row>
    <row r="39" spans="1:21" ht="12.75">
      <c r="A39" s="15">
        <f t="shared" si="3"/>
        <v>12</v>
      </c>
      <c r="B39" s="112" t="s">
        <v>104</v>
      </c>
      <c r="C39" s="112"/>
      <c r="D39" s="112"/>
      <c r="E39" s="112"/>
      <c r="F39" s="116">
        <v>670000</v>
      </c>
      <c r="G39" s="116"/>
      <c r="H39" s="15"/>
      <c r="I39" s="15"/>
      <c r="J39" s="17"/>
      <c r="K39" s="25"/>
      <c r="L39" s="15"/>
      <c r="M39" s="22">
        <f>35000</f>
        <v>35000</v>
      </c>
      <c r="N39" s="34">
        <f>35000+300000</f>
        <v>335000</v>
      </c>
      <c r="O39" s="34">
        <f>291695.71</f>
        <v>291695.71</v>
      </c>
      <c r="P39" s="15"/>
      <c r="Q39" s="15"/>
      <c r="R39" s="15">
        <f>22989</f>
        <v>22989</v>
      </c>
      <c r="S39" s="15"/>
      <c r="T39" s="31">
        <f t="shared" si="1"/>
        <v>684684.71</v>
      </c>
      <c r="U39" s="29">
        <f t="shared" si="2"/>
        <v>-14684.709999999963</v>
      </c>
    </row>
    <row r="40" spans="1:21" ht="12.75">
      <c r="A40" s="15">
        <f t="shared" si="3"/>
        <v>13</v>
      </c>
      <c r="B40" s="112" t="s">
        <v>47</v>
      </c>
      <c r="C40" s="112"/>
      <c r="D40" s="112"/>
      <c r="E40" s="112"/>
      <c r="F40" s="113">
        <v>170000</v>
      </c>
      <c r="G40" s="113"/>
      <c r="H40" s="15"/>
      <c r="I40" s="15"/>
      <c r="J40" s="17"/>
      <c r="K40" s="25"/>
      <c r="L40" s="15"/>
      <c r="M40" s="22">
        <v>170485</v>
      </c>
      <c r="N40" s="15"/>
      <c r="O40" s="15"/>
      <c r="P40" s="15"/>
      <c r="Q40" s="15"/>
      <c r="R40" s="15"/>
      <c r="S40" s="15"/>
      <c r="T40" s="31">
        <f t="shared" si="1"/>
        <v>170485</v>
      </c>
      <c r="U40" s="29">
        <f t="shared" si="2"/>
        <v>-485</v>
      </c>
    </row>
    <row r="41" spans="1:21" ht="12.75">
      <c r="A41" s="15">
        <f t="shared" si="3"/>
        <v>14</v>
      </c>
      <c r="B41" s="112" t="s">
        <v>48</v>
      </c>
      <c r="C41" s="112"/>
      <c r="D41" s="112"/>
      <c r="E41" s="112"/>
      <c r="F41" s="116">
        <v>50000</v>
      </c>
      <c r="G41" s="116"/>
      <c r="H41" s="15"/>
      <c r="I41" s="15"/>
      <c r="J41" s="17"/>
      <c r="K41" s="25">
        <f>1150</f>
        <v>1150</v>
      </c>
      <c r="L41" s="15">
        <v>4598</v>
      </c>
      <c r="M41" s="15"/>
      <c r="N41" s="15"/>
      <c r="O41" s="15"/>
      <c r="P41" s="15"/>
      <c r="Q41" s="15"/>
      <c r="R41" s="15">
        <f>30000+14000</f>
        <v>44000</v>
      </c>
      <c r="S41" s="15"/>
      <c r="T41" s="31">
        <f t="shared" si="1"/>
        <v>49748</v>
      </c>
      <c r="U41" s="29">
        <f t="shared" si="2"/>
        <v>252</v>
      </c>
    </row>
    <row r="42" spans="1:21" ht="12.75">
      <c r="A42" s="15">
        <f t="shared" si="3"/>
        <v>15</v>
      </c>
      <c r="B42" s="112" t="s">
        <v>49</v>
      </c>
      <c r="C42" s="112"/>
      <c r="D42" s="112"/>
      <c r="E42" s="112"/>
      <c r="F42" s="113">
        <v>360000</v>
      </c>
      <c r="G42" s="113"/>
      <c r="H42" s="15"/>
      <c r="I42" s="22">
        <f>30000</f>
        <v>30000</v>
      </c>
      <c r="J42" s="22">
        <v>30000</v>
      </c>
      <c r="K42" s="22">
        <v>30000</v>
      </c>
      <c r="L42" s="22">
        <v>30000</v>
      </c>
      <c r="M42" s="22">
        <f>30000+30000</f>
        <v>60000</v>
      </c>
      <c r="N42" s="22">
        <v>30000</v>
      </c>
      <c r="O42" s="22">
        <v>30000</v>
      </c>
      <c r="P42" s="15"/>
      <c r="Q42" s="22">
        <f>30000+30000</f>
        <v>60000</v>
      </c>
      <c r="R42" s="15"/>
      <c r="S42" s="22">
        <f>30000+30000</f>
        <v>60000</v>
      </c>
      <c r="T42" s="31">
        <f t="shared" si="1"/>
        <v>360000</v>
      </c>
      <c r="U42" s="29">
        <f t="shared" si="2"/>
        <v>0</v>
      </c>
    </row>
    <row r="43" spans="1:21" ht="12.75">
      <c r="A43" s="15">
        <f t="shared" si="3"/>
        <v>16</v>
      </c>
      <c r="B43" s="112" t="s">
        <v>50</v>
      </c>
      <c r="C43" s="112"/>
      <c r="D43" s="112"/>
      <c r="E43" s="112"/>
      <c r="F43" s="116">
        <v>50000</v>
      </c>
      <c r="G43" s="116"/>
      <c r="H43" s="15"/>
      <c r="I43" s="15"/>
      <c r="J43" s="17"/>
      <c r="K43" s="25">
        <v>139514.32</v>
      </c>
      <c r="L43" s="15"/>
      <c r="M43" s="15"/>
      <c r="N43" s="15"/>
      <c r="O43" s="15"/>
      <c r="P43" s="15"/>
      <c r="Q43" s="15"/>
      <c r="R43" s="15"/>
      <c r="S43" s="15"/>
      <c r="T43" s="31">
        <f t="shared" si="1"/>
        <v>139514.32</v>
      </c>
      <c r="U43" s="29">
        <f t="shared" si="2"/>
        <v>-89514.32</v>
      </c>
    </row>
    <row r="44" spans="1:21" ht="12.75">
      <c r="A44" s="15">
        <f t="shared" si="3"/>
        <v>17</v>
      </c>
      <c r="B44" s="117" t="s">
        <v>102</v>
      </c>
      <c r="C44" s="117"/>
      <c r="D44" s="117"/>
      <c r="E44" s="117"/>
      <c r="F44" s="116">
        <v>200000</v>
      </c>
      <c r="G44" s="116"/>
      <c r="H44" s="15"/>
      <c r="I44" s="15"/>
      <c r="J44" s="17"/>
      <c r="K44" s="25"/>
      <c r="L44" s="15"/>
      <c r="M44" s="22">
        <v>25000</v>
      </c>
      <c r="N44" s="15"/>
      <c r="O44" s="22">
        <f>25000</f>
        <v>25000</v>
      </c>
      <c r="P44" s="22">
        <v>150000</v>
      </c>
      <c r="Q44" s="15"/>
      <c r="R44" s="15"/>
      <c r="S44" s="15"/>
      <c r="T44" s="31">
        <f t="shared" si="1"/>
        <v>200000</v>
      </c>
      <c r="U44" s="29">
        <f t="shared" si="2"/>
        <v>0</v>
      </c>
    </row>
    <row r="45" spans="1:21" ht="12.75">
      <c r="A45" s="15">
        <f t="shared" si="3"/>
        <v>18</v>
      </c>
      <c r="B45" s="112" t="s">
        <v>103</v>
      </c>
      <c r="C45" s="112"/>
      <c r="D45" s="112"/>
      <c r="E45" s="112"/>
      <c r="F45" s="113">
        <v>200000</v>
      </c>
      <c r="G45" s="113"/>
      <c r="H45" s="15"/>
      <c r="I45" s="15"/>
      <c r="J45" s="17"/>
      <c r="K45" s="25"/>
      <c r="L45" s="22">
        <f>60000+40000+45000+30000</f>
        <v>175000</v>
      </c>
      <c r="M45" s="15"/>
      <c r="N45" s="15"/>
      <c r="O45" s="15"/>
      <c r="P45" s="15"/>
      <c r="Q45" s="15"/>
      <c r="R45" s="15"/>
      <c r="S45" s="15"/>
      <c r="T45" s="31">
        <f t="shared" si="1"/>
        <v>175000</v>
      </c>
      <c r="U45" s="29">
        <f t="shared" si="2"/>
        <v>25000</v>
      </c>
    </row>
    <row r="46" spans="1:21" ht="12.75">
      <c r="A46" s="15">
        <f t="shared" si="3"/>
        <v>19</v>
      </c>
      <c r="B46" s="21" t="s">
        <v>51</v>
      </c>
      <c r="C46" s="21"/>
      <c r="D46" s="21"/>
      <c r="E46" s="21"/>
      <c r="F46" s="113">
        <v>35000</v>
      </c>
      <c r="G46" s="115"/>
      <c r="H46" s="22">
        <f>1744.04</f>
        <v>1744.04</v>
      </c>
      <c r="I46" s="22">
        <v>1744.04</v>
      </c>
      <c r="J46" s="17"/>
      <c r="K46" s="22">
        <f>1744.04*2</f>
        <v>3488.08</v>
      </c>
      <c r="L46" s="15"/>
      <c r="M46" s="22">
        <f>1744.04+1744.04</f>
        <v>3488.08</v>
      </c>
      <c r="N46" s="22">
        <f>14868+1744.04</f>
        <v>16612.04</v>
      </c>
      <c r="O46" s="22">
        <v>1744.04</v>
      </c>
      <c r="P46" s="22">
        <v>1744.04</v>
      </c>
      <c r="Q46" s="22">
        <v>1744.04</v>
      </c>
      <c r="R46" s="22">
        <v>1744.04</v>
      </c>
      <c r="S46" s="22">
        <v>1744.04</v>
      </c>
      <c r="T46" s="31">
        <f t="shared" si="1"/>
        <v>35796.48</v>
      </c>
      <c r="U46" s="29">
        <f t="shared" si="2"/>
        <v>-796.4800000000032</v>
      </c>
    </row>
    <row r="47" spans="1:21" ht="12.75">
      <c r="A47" s="15">
        <f t="shared" si="3"/>
        <v>20</v>
      </c>
      <c r="B47" s="21" t="s">
        <v>52</v>
      </c>
      <c r="C47" s="21"/>
      <c r="D47" s="21"/>
      <c r="E47" s="21"/>
      <c r="F47" s="113">
        <v>18000</v>
      </c>
      <c r="G47" s="115"/>
      <c r="H47" s="15"/>
      <c r="I47" s="15"/>
      <c r="J47" s="22">
        <v>4500</v>
      </c>
      <c r="K47" s="25"/>
      <c r="L47" s="15"/>
      <c r="M47" s="22">
        <v>4500</v>
      </c>
      <c r="N47" s="15"/>
      <c r="O47" s="15"/>
      <c r="P47" s="22">
        <v>4864.7</v>
      </c>
      <c r="Q47" s="15"/>
      <c r="R47" s="15"/>
      <c r="S47" s="22">
        <v>4500</v>
      </c>
      <c r="T47" s="31">
        <f t="shared" si="1"/>
        <v>18364.7</v>
      </c>
      <c r="U47" s="29">
        <f t="shared" si="2"/>
        <v>-364.7000000000007</v>
      </c>
    </row>
    <row r="48" spans="1:21" ht="12.75">
      <c r="A48" s="15">
        <f t="shared" si="3"/>
        <v>21</v>
      </c>
      <c r="B48" s="21" t="s">
        <v>53</v>
      </c>
      <c r="C48" s="21"/>
      <c r="D48" s="21"/>
      <c r="E48" s="21"/>
      <c r="F48" s="113">
        <v>30000</v>
      </c>
      <c r="G48" s="115"/>
      <c r="H48" s="15"/>
      <c r="I48" s="15"/>
      <c r="J48" s="17"/>
      <c r="K48" s="25"/>
      <c r="L48" s="15">
        <v>9598</v>
      </c>
      <c r="M48" s="15"/>
      <c r="N48" s="15"/>
      <c r="O48" s="15"/>
      <c r="P48" s="15"/>
      <c r="Q48" s="15"/>
      <c r="R48" s="15">
        <f>17360.58+3000</f>
        <v>20360.58</v>
      </c>
      <c r="S48" s="15"/>
      <c r="T48" s="31">
        <f t="shared" si="1"/>
        <v>29958.58</v>
      </c>
      <c r="U48" s="29">
        <f t="shared" si="2"/>
        <v>41.419999999998254</v>
      </c>
    </row>
    <row r="49" spans="1:21" ht="12.75">
      <c r="A49" s="15">
        <f t="shared" si="3"/>
        <v>22</v>
      </c>
      <c r="B49" s="21" t="s">
        <v>54</v>
      </c>
      <c r="C49" s="21"/>
      <c r="D49" s="21"/>
      <c r="E49" s="21"/>
      <c r="F49" s="113">
        <v>235200</v>
      </c>
      <c r="G49" s="115"/>
      <c r="H49" s="22">
        <f>19790.3</f>
        <v>19790.3</v>
      </c>
      <c r="I49" s="15"/>
      <c r="J49" s="22">
        <v>19390.3</v>
      </c>
      <c r="K49" s="22">
        <f>19590.3+19590.3</f>
        <v>39180.6</v>
      </c>
      <c r="L49" s="15"/>
      <c r="M49" s="22">
        <f>19590.3+19590.3</f>
        <v>39180.6</v>
      </c>
      <c r="N49" s="22">
        <f>332.26+7964.37+11625.93</f>
        <v>19922.559999999998</v>
      </c>
      <c r="O49" s="22">
        <f>7964.37+11625.93</f>
        <v>19590.3</v>
      </c>
      <c r="P49" s="22">
        <f>2658.12+7964.37+11625.93</f>
        <v>22248.42</v>
      </c>
      <c r="Q49" s="22">
        <f>7964.37+11625.93</f>
        <v>19590.3</v>
      </c>
      <c r="R49" s="22">
        <f>7964.37+11625.93</f>
        <v>19590.3</v>
      </c>
      <c r="S49" s="22">
        <f>7964.37+11625.93</f>
        <v>19590.3</v>
      </c>
      <c r="T49" s="31">
        <f t="shared" si="1"/>
        <v>238073.97999999992</v>
      </c>
      <c r="U49" s="29">
        <f t="shared" si="2"/>
        <v>-2873.979999999923</v>
      </c>
    </row>
    <row r="50" spans="1:21" ht="12.75">
      <c r="A50" s="15">
        <f t="shared" si="3"/>
        <v>23</v>
      </c>
      <c r="B50" s="21" t="s">
        <v>55</v>
      </c>
      <c r="C50" s="21"/>
      <c r="D50" s="21"/>
      <c r="E50" s="21"/>
      <c r="F50" s="113">
        <v>10000</v>
      </c>
      <c r="G50" s="115"/>
      <c r="H50" s="15"/>
      <c r="I50" s="15"/>
      <c r="J50" s="17"/>
      <c r="K50" s="25"/>
      <c r="L50" s="15"/>
      <c r="M50" s="15"/>
      <c r="N50" s="15"/>
      <c r="O50" s="22">
        <v>7628</v>
      </c>
      <c r="P50" s="15"/>
      <c r="Q50" s="15"/>
      <c r="R50" s="22">
        <v>881</v>
      </c>
      <c r="S50" s="15"/>
      <c r="T50" s="31">
        <f t="shared" si="1"/>
        <v>8509</v>
      </c>
      <c r="U50" s="29">
        <f t="shared" si="2"/>
        <v>1491</v>
      </c>
    </row>
    <row r="51" spans="1:21" ht="12.75">
      <c r="A51" s="15">
        <f t="shared" si="3"/>
        <v>24</v>
      </c>
      <c r="B51" s="21" t="s">
        <v>61</v>
      </c>
      <c r="C51" s="21"/>
      <c r="D51" s="21"/>
      <c r="E51" s="21"/>
      <c r="F51" s="113">
        <v>30000</v>
      </c>
      <c r="G51" s="115"/>
      <c r="H51" s="22">
        <f>2500</f>
        <v>2500</v>
      </c>
      <c r="I51" s="22">
        <f>2500</f>
        <v>2500</v>
      </c>
      <c r="J51" s="22">
        <v>2500</v>
      </c>
      <c r="K51" s="22">
        <v>2500</v>
      </c>
      <c r="L51" s="22">
        <f>2500</f>
        <v>2500</v>
      </c>
      <c r="M51" s="22">
        <v>2500</v>
      </c>
      <c r="N51" s="22">
        <v>2500</v>
      </c>
      <c r="O51" s="22">
        <f>2500+2500</f>
        <v>5000</v>
      </c>
      <c r="P51" s="15"/>
      <c r="Q51" s="22">
        <f>2500</f>
        <v>2500</v>
      </c>
      <c r="R51" s="22">
        <v>2500</v>
      </c>
      <c r="S51" s="22">
        <f>2500+2500</f>
        <v>5000</v>
      </c>
      <c r="T51" s="31">
        <f t="shared" si="1"/>
        <v>32500</v>
      </c>
      <c r="U51" s="29">
        <f t="shared" si="2"/>
        <v>-2500</v>
      </c>
    </row>
    <row r="52" spans="1:21" ht="12.75">
      <c r="A52" s="15"/>
      <c r="B52" s="114" t="s">
        <v>8</v>
      </c>
      <c r="C52" s="114"/>
      <c r="D52" s="114"/>
      <c r="E52" s="114"/>
      <c r="F52" s="113">
        <f>SUM(F28:F51)</f>
        <v>3846552</v>
      </c>
      <c r="G52" s="115"/>
      <c r="H52" s="26">
        <f aca="true" t="shared" si="4" ref="H52:P52">SUM(H28:H51)</f>
        <v>133440.9</v>
      </c>
      <c r="I52" s="26">
        <f t="shared" si="4"/>
        <v>141157.63999999998</v>
      </c>
      <c r="J52" s="26">
        <f t="shared" si="4"/>
        <v>185774.76</v>
      </c>
      <c r="K52" s="27">
        <f t="shared" si="4"/>
        <v>362918.2</v>
      </c>
      <c r="L52" s="26">
        <f t="shared" si="4"/>
        <v>360948.58999999997</v>
      </c>
      <c r="M52" s="26">
        <f t="shared" si="4"/>
        <v>488716.69</v>
      </c>
      <c r="N52" s="26">
        <f t="shared" si="4"/>
        <v>584181.22</v>
      </c>
      <c r="O52" s="26">
        <f t="shared" si="4"/>
        <v>529549.1699999999</v>
      </c>
      <c r="P52" s="26">
        <f t="shared" si="4"/>
        <v>335417.43</v>
      </c>
      <c r="Q52" s="26">
        <f>SUM(Q28:Q51)</f>
        <v>202168.05</v>
      </c>
      <c r="R52" s="26">
        <f>SUM(R28:R51)</f>
        <v>218439.57999999996</v>
      </c>
      <c r="S52" s="26">
        <f>SUM(S28:S51)</f>
        <v>221923.25</v>
      </c>
      <c r="T52" s="31">
        <f t="shared" si="1"/>
        <v>3764635.48</v>
      </c>
      <c r="U52" s="29">
        <f>SUM(U28:U51)</f>
        <v>81916.52000000008</v>
      </c>
    </row>
    <row r="53" spans="1:20" ht="12.75">
      <c r="A53" s="15"/>
      <c r="B53" s="15"/>
      <c r="C53" s="15"/>
      <c r="D53" s="15"/>
      <c r="E53" s="15"/>
      <c r="F53" s="16"/>
      <c r="G53" s="16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8"/>
    </row>
    <row r="54" spans="1:20" ht="12.75">
      <c r="A54" s="15"/>
      <c r="B54" s="15"/>
      <c r="C54" s="15"/>
      <c r="D54" s="15"/>
      <c r="E54" s="15"/>
      <c r="F54" s="16"/>
      <c r="G54" s="16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8"/>
    </row>
    <row r="55" spans="1:20" ht="12.75">
      <c r="A55" s="15"/>
      <c r="B55" s="15" t="s">
        <v>62</v>
      </c>
      <c r="C55" s="15"/>
      <c r="D55" s="15"/>
      <c r="E55" s="15"/>
      <c r="F55" s="115" t="s">
        <v>57</v>
      </c>
      <c r="G55" s="1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8"/>
    </row>
    <row r="56" spans="1:20" ht="12.75">
      <c r="A56" s="15"/>
      <c r="B56" s="15"/>
      <c r="C56" s="15"/>
      <c r="D56" s="15"/>
      <c r="E56" s="15"/>
      <c r="F56" s="115" t="s">
        <v>63</v>
      </c>
      <c r="G56" s="1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8"/>
    </row>
    <row r="57" spans="1:21" s="10" customFormat="1" ht="12.75" hidden="1">
      <c r="A57" s="28"/>
      <c r="B57" s="28"/>
      <c r="C57" s="28"/>
      <c r="D57" s="28"/>
      <c r="E57" s="28"/>
      <c r="F57" s="28"/>
      <c r="G57" s="28"/>
      <c r="H57" s="28">
        <f aca="true" t="shared" si="5" ref="H57:S57">H24-H52</f>
        <v>60122.590000000026</v>
      </c>
      <c r="I57" s="28">
        <f t="shared" si="5"/>
        <v>91461.88</v>
      </c>
      <c r="J57" s="28">
        <f t="shared" si="5"/>
        <v>70192.17000000001</v>
      </c>
      <c r="K57" s="28">
        <f t="shared" si="5"/>
        <v>-134273.74000000002</v>
      </c>
      <c r="L57" s="28">
        <f t="shared" si="5"/>
        <v>-141475.50999999998</v>
      </c>
      <c r="M57" s="28">
        <f t="shared" si="5"/>
        <v>-248173.77</v>
      </c>
      <c r="N57" s="28">
        <f t="shared" si="5"/>
        <v>-341711.27999999997</v>
      </c>
      <c r="O57" s="28">
        <f t="shared" si="5"/>
        <v>-293601.85999999987</v>
      </c>
      <c r="P57" s="28">
        <f t="shared" si="5"/>
        <v>-106745.36000000002</v>
      </c>
      <c r="Q57" s="28">
        <f t="shared" si="5"/>
        <v>58030.41</v>
      </c>
      <c r="R57" s="28">
        <f t="shared" si="5"/>
        <v>29747.600000000064</v>
      </c>
      <c r="S57" s="28">
        <f t="shared" si="5"/>
        <v>161012.48999999993</v>
      </c>
      <c r="T57" s="18">
        <f>H57+I57+J57+K57+L57+M57+N57+O57+P57+Q57+R57+S57</f>
        <v>-795414.3799999997</v>
      </c>
      <c r="U57" s="12"/>
    </row>
    <row r="58" spans="2:6" ht="12.75">
      <c r="B58" t="s">
        <v>58</v>
      </c>
      <c r="E58" t="s">
        <v>59</v>
      </c>
      <c r="F58" s="8" t="s">
        <v>60</v>
      </c>
    </row>
    <row r="60" ht="12.75">
      <c r="B60" t="s">
        <v>85</v>
      </c>
    </row>
    <row r="61" spans="2:9" ht="12.75" hidden="1">
      <c r="B61" t="s">
        <v>90</v>
      </c>
      <c r="I61">
        <v>2000</v>
      </c>
    </row>
    <row r="62" ht="12.75">
      <c r="B62" t="s">
        <v>71</v>
      </c>
    </row>
    <row r="63" spans="2:20" ht="12.75">
      <c r="B63" t="s">
        <v>75</v>
      </c>
      <c r="H63" s="3">
        <v>8642.3</v>
      </c>
      <c r="I63" s="3">
        <v>2000</v>
      </c>
      <c r="L63" s="3">
        <f>800</f>
        <v>800</v>
      </c>
      <c r="N63" s="3">
        <v>2000</v>
      </c>
      <c r="Q63" s="3">
        <v>2000</v>
      </c>
      <c r="T63" s="11">
        <f>H63+L63+N63+Q63</f>
        <v>13442.3</v>
      </c>
    </row>
    <row r="64" spans="2:20" ht="12.75">
      <c r="B64" t="s">
        <v>77</v>
      </c>
      <c r="H64" s="3">
        <v>63335.18</v>
      </c>
      <c r="I64" s="3">
        <v>73257.39</v>
      </c>
      <c r="J64" s="3">
        <v>65415.7</v>
      </c>
      <c r="K64" s="3">
        <v>67306.27</v>
      </c>
      <c r="L64" s="3">
        <v>64696.12</v>
      </c>
      <c r="M64" s="3">
        <v>60804.83</v>
      </c>
      <c r="N64" s="3">
        <v>57278.65</v>
      </c>
      <c r="O64" s="3">
        <v>59963.22</v>
      </c>
      <c r="P64" s="3">
        <v>56643.58</v>
      </c>
      <c r="Q64" s="3">
        <v>55680.79</v>
      </c>
      <c r="R64" s="3">
        <v>60632.98</v>
      </c>
      <c r="S64" s="3">
        <v>59258.44</v>
      </c>
      <c r="T64" s="11">
        <f>H64+I64+J64+K64+L64+M64+N64+O64+P64+Q64+R64+S64</f>
        <v>744273.1500000001</v>
      </c>
    </row>
    <row r="65" spans="2:20" ht="12.75">
      <c r="B65" t="s">
        <v>78</v>
      </c>
      <c r="H65" s="3">
        <v>392404.79</v>
      </c>
      <c r="I65" s="3">
        <v>460252.33</v>
      </c>
      <c r="J65" s="3">
        <v>461606.65</v>
      </c>
      <c r="K65" s="3">
        <v>493471.62</v>
      </c>
      <c r="L65" s="3">
        <v>361453.72</v>
      </c>
      <c r="M65" s="3">
        <v>128608.91</v>
      </c>
      <c r="N65" s="3">
        <v>102483</v>
      </c>
      <c r="O65" s="3">
        <v>31726.36</v>
      </c>
      <c r="P65" s="3">
        <v>86126.58</v>
      </c>
      <c r="Q65" s="3">
        <v>94831.73</v>
      </c>
      <c r="R65" s="3">
        <v>209541.12</v>
      </c>
      <c r="S65" s="3">
        <v>291061.8</v>
      </c>
      <c r="T65" s="11">
        <f aca="true" t="shared" si="6" ref="T65:T72">H65+I65+J65+K65+L65+M65+N65+O65+P65+Q65+R65+S65</f>
        <v>3113568.6100000003</v>
      </c>
    </row>
    <row r="66" spans="2:20" ht="12.75">
      <c r="B66" t="s">
        <v>79</v>
      </c>
      <c r="I66" s="3">
        <v>8949.6</v>
      </c>
      <c r="J66" s="3">
        <v>9147.6</v>
      </c>
      <c r="K66" s="3">
        <v>9180.6</v>
      </c>
      <c r="L66" s="3">
        <v>8806.71</v>
      </c>
      <c r="M66" s="3">
        <v>9236.7</v>
      </c>
      <c r="N66" s="3">
        <v>8781.3</v>
      </c>
      <c r="O66" s="3">
        <v>9081.6</v>
      </c>
      <c r="P66" s="3">
        <v>8982.6</v>
      </c>
      <c r="Q66" s="3">
        <v>9081.6</v>
      </c>
      <c r="R66" s="3">
        <v>8504.1</v>
      </c>
      <c r="S66" s="3">
        <v>8284.98</v>
      </c>
      <c r="T66" s="11">
        <f t="shared" si="6"/>
        <v>98037.39000000001</v>
      </c>
    </row>
    <row r="67" spans="2:20" ht="12.75">
      <c r="B67" t="s">
        <v>80</v>
      </c>
      <c r="R67" s="3">
        <v>263.14</v>
      </c>
      <c r="T67" s="11">
        <f t="shared" si="6"/>
        <v>263.14</v>
      </c>
    </row>
    <row r="68" spans="2:20" ht="12.75">
      <c r="B68" t="s">
        <v>81</v>
      </c>
      <c r="J68" s="3">
        <v>13800</v>
      </c>
      <c r="N68" s="3">
        <v>13800</v>
      </c>
      <c r="Q68" s="3">
        <v>13800</v>
      </c>
      <c r="S68" s="3">
        <v>13800</v>
      </c>
      <c r="T68" s="11">
        <f t="shared" si="6"/>
        <v>55200</v>
      </c>
    </row>
    <row r="69" spans="2:20" ht="12.75">
      <c r="B69" t="s">
        <v>83</v>
      </c>
      <c r="K69" s="3">
        <v>12400</v>
      </c>
      <c r="T69" s="11">
        <f>H69+I69+J69+K69+L69+M69+N69+O69+P69+Q69+R69+S69</f>
        <v>12400</v>
      </c>
    </row>
    <row r="70" spans="2:20" ht="12.75">
      <c r="B70" t="s">
        <v>84</v>
      </c>
      <c r="M70" s="3">
        <f>400+800</f>
        <v>1200</v>
      </c>
      <c r="T70" s="11">
        <f t="shared" si="6"/>
        <v>1200</v>
      </c>
    </row>
    <row r="71" spans="2:20" ht="12.75" hidden="1">
      <c r="B71" t="s">
        <v>100</v>
      </c>
      <c r="H71" s="9">
        <f>SUM(H61:H70)</f>
        <v>464382.26999999996</v>
      </c>
      <c r="I71" s="9">
        <f>SUM(I61:I70)</f>
        <v>546459.32</v>
      </c>
      <c r="J71" s="9">
        <f>SUM(J61:J70)</f>
        <v>549969.95</v>
      </c>
      <c r="K71" s="9">
        <f>SUM(K61:K70)</f>
        <v>582358.49</v>
      </c>
      <c r="R71" s="3">
        <v>50000</v>
      </c>
      <c r="S71" s="3">
        <v>42970</v>
      </c>
      <c r="T71" s="11">
        <f t="shared" si="6"/>
        <v>2236140.03</v>
      </c>
    </row>
    <row r="72" spans="2:20" ht="12.75" hidden="1">
      <c r="B72" t="s">
        <v>82</v>
      </c>
      <c r="K72">
        <v>4000</v>
      </c>
      <c r="T72" s="11">
        <f t="shared" si="6"/>
        <v>4000</v>
      </c>
    </row>
    <row r="73" spans="8:20" ht="12.75">
      <c r="H73" s="32">
        <f>H52+H63+H64+H65</f>
        <v>597823.1699999999</v>
      </c>
      <c r="I73" s="33">
        <f>I52+I64+I65+I66+I63</f>
        <v>685616.96</v>
      </c>
      <c r="J73" s="32">
        <f>J52+J64+J65+J66+J68</f>
        <v>735744.7100000001</v>
      </c>
      <c r="K73" s="33">
        <f>K52+K64+K65+K66+K69</f>
        <v>945276.6900000001</v>
      </c>
      <c r="L73" s="32">
        <f>L52+L63+L64+L65+L66</f>
        <v>796705.1399999999</v>
      </c>
      <c r="M73" s="33">
        <f>M52+M64+M65+M66+M70</f>
        <v>688567.13</v>
      </c>
      <c r="N73" s="32">
        <f>N52+N63+N64+N65+N66+N68</f>
        <v>768524.17</v>
      </c>
      <c r="O73" s="33">
        <f>O52+O64+O65+O66</f>
        <v>630320.3499999999</v>
      </c>
      <c r="P73" s="33">
        <f>P52+P64+P65+P66</f>
        <v>487170.19</v>
      </c>
      <c r="Q73" s="33">
        <f>Q52+Q63+Q64+Q65+Q66+Q68</f>
        <v>377562.17</v>
      </c>
      <c r="R73" s="33">
        <f>R52+R64+R65+R66+R67+R71</f>
        <v>547380.9199999999</v>
      </c>
      <c r="S73" s="32">
        <f>SUM(S64:S72)+S52</f>
        <v>637298.47</v>
      </c>
      <c r="T73" s="35">
        <f>T52+T63+T64+T65+T66+T67+T68+T69+T70</f>
        <v>7803020.069999999</v>
      </c>
    </row>
    <row r="74" spans="2:16" ht="12.75" hidden="1">
      <c r="B74" s="14" t="s">
        <v>91</v>
      </c>
      <c r="H74">
        <f>114985.12+56996.34</f>
        <v>171981.46</v>
      </c>
      <c r="I74">
        <f>147996.53+85847.31</f>
        <v>233843.84</v>
      </c>
      <c r="J74">
        <f>188326.12+150284.03</f>
        <v>338610.15</v>
      </c>
      <c r="K74">
        <f>140378.44+85589.13</f>
        <v>225967.57</v>
      </c>
      <c r="L74">
        <f>145923.33+94415.9</f>
        <v>240339.22999999998</v>
      </c>
      <c r="M74">
        <f>155616.25+103708.34</f>
        <v>259324.59</v>
      </c>
      <c r="N74">
        <f>143863.03+87394.87</f>
        <v>231257.9</v>
      </c>
      <c r="O74">
        <f>169217.54+91454.6+5599.34</f>
        <v>266271.48000000004</v>
      </c>
      <c r="P74">
        <f>164498.67+91823.46+358.95</f>
        <v>256681.08000000002</v>
      </c>
    </row>
    <row r="75" spans="2:16" ht="12.75" hidden="1">
      <c r="B75" s="14" t="s">
        <v>92</v>
      </c>
      <c r="H75">
        <f>23935.84+14795.63</f>
        <v>38731.47</v>
      </c>
      <c r="I75">
        <f>34884.83+22227.83</f>
        <v>57112.66</v>
      </c>
      <c r="J75">
        <f>58322.53+38254.18</f>
        <v>96576.70999999999</v>
      </c>
      <c r="K75">
        <f>35495.69+21939.11</f>
        <v>57434.8</v>
      </c>
      <c r="L75">
        <f>45788.24+24219.69</f>
        <v>70007.93</v>
      </c>
      <c r="M75">
        <f>44979.67+26698.9</f>
        <v>71678.57</v>
      </c>
      <c r="N75">
        <f>35829.15+22581.34+0.69+0.73</f>
        <v>58411.91000000001</v>
      </c>
      <c r="O75">
        <f>38454.7+23553.85+317.05+792.66+1960.18</f>
        <v>65078.44</v>
      </c>
      <c r="P75">
        <f>39001.69+23962.56+112.66+47.5+218.98</f>
        <v>63343.39000000001</v>
      </c>
    </row>
    <row r="76" spans="2:16" ht="12.75" hidden="1">
      <c r="B76" t="s">
        <v>93</v>
      </c>
      <c r="H76">
        <f>4968.67+2334.42</f>
        <v>7303.09</v>
      </c>
      <c r="I76">
        <f>7524.62+569.65</f>
        <v>8094.2699999999995</v>
      </c>
      <c r="J76">
        <f>11967.55+214.64</f>
        <v>12182.189999999999</v>
      </c>
      <c r="K76">
        <f>7222.21+449.5</f>
        <v>7671.71</v>
      </c>
      <c r="L76">
        <f>8007.25+623.7</f>
        <v>8630.95</v>
      </c>
      <c r="M76">
        <f>8902.75+178.2</f>
        <v>9080.95</v>
      </c>
      <c r="N76">
        <f>6407.31+2180.33</f>
        <v>8587.64</v>
      </c>
      <c r="O76">
        <f>8749.98+1085.54</f>
        <v>9835.52</v>
      </c>
      <c r="P76">
        <f>6428.63+3206.23</f>
        <v>9634.86</v>
      </c>
    </row>
    <row r="77" spans="2:16" ht="12.75" hidden="1">
      <c r="B77" t="s">
        <v>94</v>
      </c>
      <c r="H77">
        <v>2918.32</v>
      </c>
      <c r="I77">
        <v>4077.45</v>
      </c>
      <c r="J77">
        <v>5608.29</v>
      </c>
      <c r="K77">
        <v>3823.23</v>
      </c>
      <c r="L77">
        <v>4117.83</v>
      </c>
      <c r="M77">
        <v>4564.5</v>
      </c>
      <c r="N77">
        <v>4284.26</v>
      </c>
      <c r="O77">
        <v>4654.11</v>
      </c>
      <c r="P77">
        <v>4444.75</v>
      </c>
    </row>
    <row r="78" spans="2:16" ht="12.75" hidden="1">
      <c r="B78" t="s">
        <v>95</v>
      </c>
      <c r="H78">
        <v>225.7</v>
      </c>
      <c r="I78">
        <v>478.81</v>
      </c>
      <c r="J78">
        <v>866.33</v>
      </c>
      <c r="K78">
        <v>719.81</v>
      </c>
      <c r="L78">
        <v>749.8</v>
      </c>
      <c r="M78">
        <v>795.55</v>
      </c>
      <c r="N78">
        <v>775.09</v>
      </c>
      <c r="O78">
        <v>885.25</v>
      </c>
      <c r="P78">
        <v>854.24</v>
      </c>
    </row>
    <row r="79" spans="2:16" ht="12.75" hidden="1">
      <c r="B79" t="s">
        <v>81</v>
      </c>
      <c r="I79">
        <v>-63.06</v>
      </c>
      <c r="J79">
        <v>160</v>
      </c>
      <c r="K79">
        <v>140</v>
      </c>
      <c r="L79">
        <v>20</v>
      </c>
      <c r="M79">
        <v>98.89</v>
      </c>
      <c r="N79">
        <v>80</v>
      </c>
      <c r="O79">
        <v>60</v>
      </c>
      <c r="P79">
        <v>31</v>
      </c>
    </row>
    <row r="80" spans="2:16" ht="12.75" hidden="1">
      <c r="B80" t="s">
        <v>96</v>
      </c>
      <c r="H80">
        <v>1474.48</v>
      </c>
      <c r="I80">
        <v>2061.58</v>
      </c>
      <c r="J80">
        <v>3091.7</v>
      </c>
      <c r="K80">
        <v>1964.91</v>
      </c>
      <c r="L80">
        <v>2139.95</v>
      </c>
      <c r="M80">
        <v>2528.4</v>
      </c>
      <c r="N80">
        <v>1976.47</v>
      </c>
      <c r="O80">
        <v>2399.13</v>
      </c>
      <c r="P80">
        <v>1990.42</v>
      </c>
    </row>
    <row r="81" spans="2:15" ht="12.75" hidden="1">
      <c r="B81" t="s">
        <v>97</v>
      </c>
      <c r="H81">
        <v>70.77</v>
      </c>
      <c r="I81">
        <v>11.38</v>
      </c>
      <c r="J81">
        <v>-53.35</v>
      </c>
      <c r="K81">
        <v>-14.67</v>
      </c>
      <c r="L81">
        <v>-23.24</v>
      </c>
      <c r="M81">
        <v>33.18</v>
      </c>
      <c r="N81">
        <v>-6.68</v>
      </c>
      <c r="O81">
        <v>2.53</v>
      </c>
    </row>
    <row r="82" spans="2:16" ht="12.75" hidden="1">
      <c r="B82" t="s">
        <v>98</v>
      </c>
      <c r="H82">
        <v>31808.97</v>
      </c>
      <c r="I82">
        <v>17629.48</v>
      </c>
      <c r="J82" s="4">
        <v>-20147.75</v>
      </c>
      <c r="K82">
        <v>-678.46</v>
      </c>
      <c r="L82">
        <v>-6682.79</v>
      </c>
      <c r="M82">
        <v>10791.77</v>
      </c>
      <c r="N82">
        <v>-1300.78</v>
      </c>
      <c r="O82">
        <v>-1805.91</v>
      </c>
      <c r="P82">
        <v>-9527.06</v>
      </c>
    </row>
    <row r="83" spans="2:16" ht="12.75" hidden="1">
      <c r="B83" t="s">
        <v>99</v>
      </c>
      <c r="H83">
        <v>-2554.81</v>
      </c>
      <c r="I83">
        <v>660.13</v>
      </c>
      <c r="J83">
        <v>3067.43</v>
      </c>
      <c r="K83">
        <v>-306.46</v>
      </c>
      <c r="L83">
        <v>-680.8</v>
      </c>
      <c r="M83">
        <v>-471.43</v>
      </c>
      <c r="N83">
        <v>-1077.1</v>
      </c>
      <c r="O83">
        <v>90.78</v>
      </c>
      <c r="P83">
        <v>-537.98</v>
      </c>
    </row>
    <row r="84" ht="12.75" hidden="1"/>
  </sheetData>
  <sheetProtection/>
  <mergeCells count="62">
    <mergeCell ref="F55:G55"/>
    <mergeCell ref="F56:G56"/>
    <mergeCell ref="F51:G51"/>
    <mergeCell ref="A12:J12"/>
    <mergeCell ref="A13:K13"/>
    <mergeCell ref="A15:C15"/>
    <mergeCell ref="B17:E17"/>
    <mergeCell ref="F17:G17"/>
    <mergeCell ref="B18:E18"/>
    <mergeCell ref="F18:G18"/>
    <mergeCell ref="B22:E22"/>
    <mergeCell ref="F22:G22"/>
    <mergeCell ref="F23:G23"/>
    <mergeCell ref="B24:E24"/>
    <mergeCell ref="F24:G24"/>
    <mergeCell ref="B19:E19"/>
    <mergeCell ref="F19:G19"/>
    <mergeCell ref="B21:E21"/>
    <mergeCell ref="F21:G21"/>
    <mergeCell ref="B31:E31"/>
    <mergeCell ref="F31:G31"/>
    <mergeCell ref="B32:E32"/>
    <mergeCell ref="F32:G32"/>
    <mergeCell ref="A26:C26"/>
    <mergeCell ref="B28:E28"/>
    <mergeCell ref="F28:G28"/>
    <mergeCell ref="B30:E30"/>
    <mergeCell ref="F30:G30"/>
    <mergeCell ref="F29:G29"/>
    <mergeCell ref="B35:E35"/>
    <mergeCell ref="F35:G35"/>
    <mergeCell ref="B36:E36"/>
    <mergeCell ref="F36:G36"/>
    <mergeCell ref="B33:E33"/>
    <mergeCell ref="F33:G33"/>
    <mergeCell ref="B34:E34"/>
    <mergeCell ref="F34:G34"/>
    <mergeCell ref="B39:E39"/>
    <mergeCell ref="F39:G39"/>
    <mergeCell ref="B40:E40"/>
    <mergeCell ref="F40:G40"/>
    <mergeCell ref="B37:E37"/>
    <mergeCell ref="F37:G37"/>
    <mergeCell ref="B38:E38"/>
    <mergeCell ref="F38:G38"/>
    <mergeCell ref="B43:E43"/>
    <mergeCell ref="F43:G43"/>
    <mergeCell ref="B44:E44"/>
    <mergeCell ref="F44:G44"/>
    <mergeCell ref="B41:E41"/>
    <mergeCell ref="F41:G41"/>
    <mergeCell ref="B42:E42"/>
    <mergeCell ref="F42:G42"/>
    <mergeCell ref="B45:E45"/>
    <mergeCell ref="F45:G45"/>
    <mergeCell ref="B52:E52"/>
    <mergeCell ref="F52:G52"/>
    <mergeCell ref="F46:G46"/>
    <mergeCell ref="F47:G47"/>
    <mergeCell ref="F48:G48"/>
    <mergeCell ref="F49:G49"/>
    <mergeCell ref="F50:G5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E11" sqref="E11"/>
    </sheetView>
  </sheetViews>
  <sheetFormatPr defaultColWidth="9.00390625" defaultRowHeight="12.75"/>
  <cols>
    <col min="5" max="5" width="16.25390625" style="0" customWidth="1"/>
    <col min="10" max="10" width="8.875" style="3" customWidth="1"/>
  </cols>
  <sheetData>
    <row r="1" spans="1:10" ht="2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1" ht="15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4" spans="1:3" ht="17.25">
      <c r="A4" s="124" t="s">
        <v>2</v>
      </c>
      <c r="B4" s="124"/>
      <c r="C4" s="124"/>
    </row>
    <row r="6" spans="1:10" ht="12.75">
      <c r="A6">
        <v>1</v>
      </c>
      <c r="B6" s="125" t="s">
        <v>3</v>
      </c>
      <c r="C6" s="125"/>
      <c r="D6" s="125"/>
      <c r="E6" s="125"/>
      <c r="F6" s="127">
        <f>901684.97+77805</f>
        <v>979489.97</v>
      </c>
      <c r="G6" s="127"/>
      <c r="J6" s="3">
        <f>4200+86473.15+7500+4200+15000+49450+13000+2500+4980+4200+49450+13000+4980+7500+2500+4000+15000+2500+4980+13000+2434.51+49450+2500+4980+13000+49450+2500+4200+4980+15000+408.31+49450+13000+4200+2500+4980+4980+49400+4200+13000+2500+4980+4200+49450+13000+2500+1421.4+49450+13000+4200+4980+2500+199.55+4200+4980+49450+13000+2500+15000+11115+11115+2500+11115+2100+2500</f>
        <v>884981.92</v>
      </c>
    </row>
    <row r="7" spans="1:7" ht="12.75">
      <c r="A7">
        <v>2</v>
      </c>
      <c r="B7" s="125" t="s">
        <v>4</v>
      </c>
      <c r="C7" s="125"/>
      <c r="D7" s="125"/>
      <c r="E7" s="125"/>
      <c r="F7" s="127">
        <v>1251694.62</v>
      </c>
      <c r="G7" s="127"/>
    </row>
    <row r="8" spans="1:7" ht="12.75">
      <c r="A8">
        <v>3</v>
      </c>
      <c r="B8" s="125" t="s">
        <v>5</v>
      </c>
      <c r="C8" s="125"/>
      <c r="D8" s="125"/>
      <c r="E8" s="125"/>
      <c r="F8" s="127">
        <v>171169.92</v>
      </c>
      <c r="G8" s="127"/>
    </row>
    <row r="9" spans="1:10" ht="12.75">
      <c r="A9">
        <v>4</v>
      </c>
      <c r="B9" s="126" t="s">
        <v>6</v>
      </c>
      <c r="C9" s="126"/>
      <c r="D9" s="126"/>
      <c r="E9" s="126"/>
      <c r="F9" s="127">
        <v>11275.17</v>
      </c>
      <c r="G9" s="127"/>
      <c r="J9" s="3">
        <f>1262.34+1282.73+1080.21</f>
        <v>3625.2799999999997</v>
      </c>
    </row>
    <row r="10" spans="1:7" ht="12.75">
      <c r="A10">
        <v>5</v>
      </c>
      <c r="B10" s="126" t="s">
        <v>7</v>
      </c>
      <c r="C10" s="126"/>
      <c r="D10" s="126"/>
      <c r="E10" s="126"/>
      <c r="F10" s="127">
        <v>923.03</v>
      </c>
      <c r="G10" s="127"/>
    </row>
    <row r="11" spans="1:7" ht="12.75">
      <c r="A11">
        <v>6</v>
      </c>
      <c r="B11" s="1" t="s">
        <v>27</v>
      </c>
      <c r="C11" s="1"/>
      <c r="D11" s="1"/>
      <c r="E11" s="1"/>
      <c r="F11" s="127">
        <v>2290973.55</v>
      </c>
      <c r="G11" s="127"/>
    </row>
    <row r="12" spans="2:7" ht="12.75">
      <c r="B12" s="126" t="s">
        <v>8</v>
      </c>
      <c r="C12" s="126"/>
      <c r="D12" s="126"/>
      <c r="E12" s="126"/>
      <c r="F12" s="127">
        <f>SUM(F6:F11)</f>
        <v>4705526.26</v>
      </c>
      <c r="G12" s="127"/>
    </row>
    <row r="14" spans="1:3" ht="17.25">
      <c r="A14" s="124" t="s">
        <v>9</v>
      </c>
      <c r="B14" s="124"/>
      <c r="C14" s="124"/>
    </row>
    <row r="16" spans="1:11" ht="12.75">
      <c r="A16">
        <v>1</v>
      </c>
      <c r="B16" s="125" t="s">
        <v>10</v>
      </c>
      <c r="C16" s="125"/>
      <c r="D16" s="125"/>
      <c r="E16" s="125"/>
      <c r="F16" s="127">
        <v>877337</v>
      </c>
      <c r="G16" s="127"/>
      <c r="J16" s="3">
        <f>54500+54562+1500+3000+55000+6865+65300+65300+65300+69000+65600+65600+65600+65600+65600+64510</f>
        <v>832837</v>
      </c>
      <c r="K16" s="4">
        <f>F16-J16</f>
        <v>44500</v>
      </c>
    </row>
    <row r="17" spans="1:11" ht="12.75">
      <c r="A17">
        <v>2</v>
      </c>
      <c r="B17" s="125" t="s">
        <v>11</v>
      </c>
      <c r="C17" s="125"/>
      <c r="D17" s="125"/>
      <c r="E17" s="125"/>
      <c r="F17" s="127">
        <v>246273.18</v>
      </c>
      <c r="G17" s="127"/>
      <c r="J17" s="3">
        <f>94595+7106.5+2179+3258+15036+20048</f>
        <v>142222.5</v>
      </c>
      <c r="K17" t="s">
        <v>30</v>
      </c>
    </row>
    <row r="18" spans="1:12" ht="12.75">
      <c r="A18">
        <v>3</v>
      </c>
      <c r="B18" s="125" t="s">
        <v>12</v>
      </c>
      <c r="C18" s="125"/>
      <c r="D18" s="125"/>
      <c r="E18" s="125"/>
      <c r="F18" s="127">
        <v>114054</v>
      </c>
      <c r="G18" s="127"/>
      <c r="K18">
        <v>7107</v>
      </c>
      <c r="L18">
        <v>501</v>
      </c>
    </row>
    <row r="19" spans="1:7" ht="12.75">
      <c r="A19">
        <v>4</v>
      </c>
      <c r="B19" s="126" t="s">
        <v>13</v>
      </c>
      <c r="C19" s="126"/>
      <c r="D19" s="126"/>
      <c r="E19" s="126"/>
      <c r="F19" s="127">
        <v>66893.1</v>
      </c>
      <c r="G19" s="127"/>
    </row>
    <row r="20" spans="1:10" ht="12.75">
      <c r="A20">
        <v>5</v>
      </c>
      <c r="B20" s="126" t="s">
        <v>14</v>
      </c>
      <c r="C20" s="126"/>
      <c r="D20" s="126"/>
      <c r="E20" s="126"/>
      <c r="F20" s="127">
        <v>78207.25</v>
      </c>
      <c r="G20" s="127"/>
      <c r="J20" s="3">
        <f>5852.16+6427.56</f>
        <v>12279.720000000001</v>
      </c>
    </row>
    <row r="21" spans="1:10" ht="12.75">
      <c r="A21">
        <v>6</v>
      </c>
      <c r="B21" s="126" t="s">
        <v>15</v>
      </c>
      <c r="C21" s="126"/>
      <c r="D21" s="126"/>
      <c r="E21" s="126"/>
      <c r="F21" s="127">
        <v>8923.32</v>
      </c>
      <c r="G21" s="127"/>
      <c r="J21" s="3">
        <f>119.24+1201.07+69.61+698.6+27.91</f>
        <v>2116.43</v>
      </c>
    </row>
    <row r="22" spans="1:10" ht="12.75">
      <c r="A22">
        <v>7</v>
      </c>
      <c r="B22" s="126" t="s">
        <v>16</v>
      </c>
      <c r="C22" s="126"/>
      <c r="D22" s="126"/>
      <c r="E22" s="126"/>
      <c r="F22" s="127">
        <v>53755</v>
      </c>
      <c r="G22" s="127"/>
      <c r="J22" s="3">
        <f>50+15+65+1640+15+1000+1390+115+100+80+1900+20+1000+30+1580+65+100+2000+115+1000</f>
        <v>12280</v>
      </c>
    </row>
    <row r="23" spans="1:10" ht="12.75">
      <c r="A23">
        <v>8</v>
      </c>
      <c r="B23" s="126" t="s">
        <v>17</v>
      </c>
      <c r="C23" s="126"/>
      <c r="D23" s="126"/>
      <c r="E23" s="126"/>
      <c r="F23" s="127">
        <f>1600+2500+3000+250+1000+4250+270+2000+7000+3000+205207.56</f>
        <v>230077.56</v>
      </c>
      <c r="G23" s="127"/>
      <c r="H23">
        <v>205207.56</v>
      </c>
      <c r="J23" s="3">
        <f>2000+2870</f>
        <v>4870</v>
      </c>
    </row>
    <row r="24" spans="1:10" ht="12.75">
      <c r="A24">
        <v>9</v>
      </c>
      <c r="B24" s="126" t="s">
        <v>18</v>
      </c>
      <c r="C24" s="126"/>
      <c r="D24" s="126"/>
      <c r="E24" s="126"/>
      <c r="F24" s="125">
        <f>55477.2+270+8444.25+3500+2250+6684.21+664.3+500+809+2201.45+1770+11156+6000+22880+3508.78+2345+432.25+2000</f>
        <v>130892.44</v>
      </c>
      <c r="G24" s="125"/>
      <c r="J24" s="3">
        <f>31.45+850+500+1300+920+20880+2770+3508.78</f>
        <v>30760.23</v>
      </c>
    </row>
    <row r="25" spans="1:10" ht="12.75">
      <c r="A25">
        <v>10</v>
      </c>
      <c r="B25" s="126" t="s">
        <v>19</v>
      </c>
      <c r="C25" s="126"/>
      <c r="D25" s="126"/>
      <c r="E25" s="126"/>
      <c r="F25" s="125">
        <f>22500+365000+85000+20000+9600</f>
        <v>502100</v>
      </c>
      <c r="G25" s="125"/>
      <c r="J25" s="3">
        <f>1000+4250+15000+2500+20000+75000+85000+7000+150000+500+80000+60000+20000+9600-375000+13000+4200+2000+14000+5000+3300+2000+2000</f>
        <v>200350</v>
      </c>
    </row>
    <row r="26" spans="1:10" ht="12.75">
      <c r="A26">
        <v>11</v>
      </c>
      <c r="B26" s="126" t="s">
        <v>20</v>
      </c>
      <c r="C26" s="126"/>
      <c r="D26" s="126"/>
      <c r="E26" s="126"/>
      <c r="F26" s="125">
        <f>571612</f>
        <v>571612</v>
      </c>
      <c r="G26" s="125"/>
      <c r="J26" s="3">
        <f>4000</f>
        <v>4000</v>
      </c>
    </row>
    <row r="27" spans="1:10" ht="12.75">
      <c r="A27">
        <v>12</v>
      </c>
      <c r="B27" s="126" t="s">
        <v>21</v>
      </c>
      <c r="C27" s="126"/>
      <c r="D27" s="126"/>
      <c r="E27" s="126"/>
      <c r="F27" s="127">
        <v>46684.6</v>
      </c>
      <c r="G27" s="127"/>
      <c r="J27" s="3">
        <f>1550.05+1550.05+1550.05</f>
        <v>4650.15</v>
      </c>
    </row>
    <row r="28" spans="1:7" ht="12.75">
      <c r="A28">
        <v>13</v>
      </c>
      <c r="B28" s="126" t="s">
        <v>22</v>
      </c>
      <c r="C28" s="126"/>
      <c r="D28" s="126"/>
      <c r="E28" s="126"/>
      <c r="F28" s="125"/>
      <c r="G28" s="125"/>
    </row>
    <row r="29" spans="1:10" ht="12.75">
      <c r="A29">
        <v>14</v>
      </c>
      <c r="B29" s="126" t="s">
        <v>23</v>
      </c>
      <c r="C29" s="126"/>
      <c r="D29" s="126"/>
      <c r="E29" s="126"/>
      <c r="F29" s="127">
        <v>250000</v>
      </c>
      <c r="G29" s="127"/>
      <c r="J29" s="3">
        <f>100000+100000+50000</f>
        <v>250000</v>
      </c>
    </row>
    <row r="30" spans="1:10" ht="12.75">
      <c r="A30">
        <v>15</v>
      </c>
      <c r="B30" s="126" t="s">
        <v>24</v>
      </c>
      <c r="C30" s="126"/>
      <c r="D30" s="126"/>
      <c r="E30" s="126"/>
      <c r="F30" s="125"/>
      <c r="G30" s="125"/>
      <c r="J30" s="3">
        <f>3000</f>
        <v>3000</v>
      </c>
    </row>
    <row r="31" spans="1:10" ht="12.75">
      <c r="A31">
        <v>16</v>
      </c>
      <c r="B31" s="126" t="s">
        <v>25</v>
      </c>
      <c r="C31" s="126"/>
      <c r="D31" s="126"/>
      <c r="E31" s="126"/>
      <c r="F31" s="125">
        <f>17000</f>
        <v>17000</v>
      </c>
      <c r="G31" s="125"/>
      <c r="J31" s="3">
        <f>17000</f>
        <v>17000</v>
      </c>
    </row>
    <row r="32" spans="1:10" ht="12.75">
      <c r="A32">
        <v>17</v>
      </c>
      <c r="B32" s="126" t="s">
        <v>26</v>
      </c>
      <c r="C32" s="126"/>
      <c r="D32" s="126"/>
      <c r="E32" s="126"/>
      <c r="F32" s="127">
        <v>270000</v>
      </c>
      <c r="G32" s="127"/>
      <c r="J32" s="3">
        <f>45000</f>
        <v>45000</v>
      </c>
    </row>
    <row r="33" spans="2:10" ht="12.75">
      <c r="B33" s="1" t="s">
        <v>28</v>
      </c>
      <c r="C33" s="1"/>
      <c r="D33" s="1"/>
      <c r="E33" s="1"/>
      <c r="F33" s="2"/>
      <c r="G33" s="2"/>
      <c r="J33" s="3">
        <v>35000</v>
      </c>
    </row>
    <row r="34" spans="2:10" ht="12.75">
      <c r="B34" s="1" t="s">
        <v>29</v>
      </c>
      <c r="C34" s="1"/>
      <c r="D34" s="1"/>
      <c r="E34" s="1"/>
      <c r="F34" s="2"/>
      <c r="G34" s="2"/>
      <c r="J34" s="3">
        <f>375000</f>
        <v>375000</v>
      </c>
    </row>
    <row r="35" spans="2:7" ht="12.75">
      <c r="B35" s="126" t="s">
        <v>8</v>
      </c>
      <c r="C35" s="126"/>
      <c r="D35" s="126"/>
      <c r="E35" s="126"/>
      <c r="F35" s="127">
        <f>SUM(F16:F32)</f>
        <v>3463809.45</v>
      </c>
      <c r="G35" s="125"/>
    </row>
  </sheetData>
  <sheetProtection/>
  <mergeCells count="53">
    <mergeCell ref="F30:G30"/>
    <mergeCell ref="F31:G31"/>
    <mergeCell ref="F35:G35"/>
    <mergeCell ref="F27:G27"/>
    <mergeCell ref="F32:G32"/>
    <mergeCell ref="F11:G11"/>
    <mergeCell ref="F16:G16"/>
    <mergeCell ref="F18:G18"/>
    <mergeCell ref="F17:G17"/>
    <mergeCell ref="F19:G19"/>
    <mergeCell ref="B35:E35"/>
    <mergeCell ref="F23:G23"/>
    <mergeCell ref="F24:G24"/>
    <mergeCell ref="F25:G25"/>
    <mergeCell ref="F26:G26"/>
    <mergeCell ref="F28:G28"/>
    <mergeCell ref="F29:G29"/>
    <mergeCell ref="B30:E30"/>
    <mergeCell ref="B31:E31"/>
    <mergeCell ref="B32:E32"/>
    <mergeCell ref="F9:G9"/>
    <mergeCell ref="F6:G6"/>
    <mergeCell ref="F7:G7"/>
    <mergeCell ref="F8:G8"/>
    <mergeCell ref="F10:G10"/>
    <mergeCell ref="F12:G12"/>
    <mergeCell ref="F20:G20"/>
    <mergeCell ref="F21:G21"/>
    <mergeCell ref="F22:G22"/>
    <mergeCell ref="B24:E24"/>
    <mergeCell ref="B25:E25"/>
    <mergeCell ref="B26:E26"/>
    <mergeCell ref="B27:E27"/>
    <mergeCell ref="B28:E28"/>
    <mergeCell ref="B29:E29"/>
    <mergeCell ref="B18:E18"/>
    <mergeCell ref="B19:E19"/>
    <mergeCell ref="B20:E20"/>
    <mergeCell ref="B21:E21"/>
    <mergeCell ref="B22:E22"/>
    <mergeCell ref="B23:E23"/>
    <mergeCell ref="B9:E9"/>
    <mergeCell ref="B10:E10"/>
    <mergeCell ref="B12:E12"/>
    <mergeCell ref="A14:C14"/>
    <mergeCell ref="B16:E16"/>
    <mergeCell ref="B17:E17"/>
    <mergeCell ref="A1:J1"/>
    <mergeCell ref="A2:K2"/>
    <mergeCell ref="A4:C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104"/>
  <sheetViews>
    <sheetView zoomScalePageLayoutView="0" workbookViewId="0" topLeftCell="A1">
      <selection activeCell="T23" sqref="T23"/>
    </sheetView>
  </sheetViews>
  <sheetFormatPr defaultColWidth="9.00390625" defaultRowHeight="12.75"/>
  <cols>
    <col min="1" max="1" width="7.625" style="0" customWidth="1"/>
    <col min="2" max="2" width="7.25390625" style="0" customWidth="1"/>
    <col min="5" max="5" width="15.875" style="0" customWidth="1"/>
    <col min="6" max="6" width="9.50390625" style="8" bestFit="1" customWidth="1"/>
    <col min="7" max="7" width="5.25390625" style="8" customWidth="1"/>
    <col min="8" max="8" width="12.125" style="0" hidden="1" customWidth="1"/>
    <col min="9" max="9" width="10.50390625" style="0" hidden="1" customWidth="1"/>
    <col min="10" max="10" width="10.625" style="0" hidden="1" customWidth="1"/>
    <col min="11" max="11" width="10.00390625" style="0" hidden="1" customWidth="1"/>
    <col min="12" max="12" width="9.50390625" style="0" hidden="1" customWidth="1"/>
    <col min="13" max="13" width="9.75390625" style="0" hidden="1" customWidth="1"/>
    <col min="14" max="14" width="10.50390625" style="0" hidden="1" customWidth="1"/>
    <col min="15" max="15" width="9.50390625" style="0" hidden="1" customWidth="1"/>
    <col min="16" max="16" width="9.625" style="0" hidden="1" customWidth="1"/>
    <col min="17" max="19" width="9.50390625" style="0" hidden="1" customWidth="1"/>
    <col min="20" max="20" width="11.50390625" style="11" customWidth="1"/>
    <col min="21" max="21" width="10.625" style="13" hidden="1" customWidth="1"/>
    <col min="22" max="22" width="11.875" style="0" customWidth="1"/>
    <col min="24" max="24" width="10.50390625" style="0" bestFit="1" customWidth="1"/>
  </cols>
  <sheetData>
    <row r="2" spans="1:22" ht="19.5" customHeight="1">
      <c r="A2" s="128" t="s">
        <v>56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ht="22.5" customHeight="1">
      <c r="A3" s="128" t="s">
        <v>101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5" spans="1:6" ht="12.75">
      <c r="A5" t="s">
        <v>31</v>
      </c>
      <c r="F5" s="8" t="s">
        <v>32</v>
      </c>
    </row>
    <row r="6" spans="1:6" ht="12.75">
      <c r="A6" t="s">
        <v>33</v>
      </c>
      <c r="F6" s="8" t="s">
        <v>34</v>
      </c>
    </row>
    <row r="7" spans="1:6" ht="12.75">
      <c r="A7" t="s">
        <v>40</v>
      </c>
      <c r="F7" s="8" t="s">
        <v>35</v>
      </c>
    </row>
    <row r="8" spans="6:24" ht="12.75">
      <c r="F8" s="8" t="s">
        <v>36</v>
      </c>
      <c r="X8" s="4"/>
    </row>
    <row r="9" spans="1:22" ht="12.75">
      <c r="A9" s="135" t="s">
        <v>129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</row>
    <row r="10" ht="12.75">
      <c r="A10" s="6" t="s">
        <v>39</v>
      </c>
    </row>
    <row r="11" ht="12.75" hidden="1"/>
    <row r="12" spans="1:10" ht="21">
      <c r="A12" s="120" t="s">
        <v>0</v>
      </c>
      <c r="B12" s="120"/>
      <c r="C12" s="120"/>
      <c r="D12" s="120"/>
      <c r="E12" s="120"/>
      <c r="F12" s="120"/>
      <c r="G12" s="120"/>
      <c r="H12" s="120"/>
      <c r="I12" s="120"/>
      <c r="J12" s="120"/>
    </row>
    <row r="13" spans="1:11" ht="15">
      <c r="A13" s="121" t="s">
        <v>116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</row>
    <row r="14" ht="3" customHeight="1">
      <c r="J14" s="3"/>
    </row>
    <row r="15" spans="1:20" ht="14.25" customHeight="1">
      <c r="A15" s="119" t="s">
        <v>2</v>
      </c>
      <c r="B15" s="119"/>
      <c r="C15" s="119"/>
      <c r="D15" s="15"/>
      <c r="E15" s="15"/>
      <c r="F15" s="16"/>
      <c r="G15" s="16" t="s">
        <v>105</v>
      </c>
      <c r="H15" s="15" t="s">
        <v>65</v>
      </c>
      <c r="I15" s="15" t="s">
        <v>66</v>
      </c>
      <c r="J15" s="17" t="s">
        <v>67</v>
      </c>
      <c r="K15" s="15" t="s">
        <v>68</v>
      </c>
      <c r="L15" s="15" t="s">
        <v>69</v>
      </c>
      <c r="M15" s="15" t="s">
        <v>70</v>
      </c>
      <c r="N15" s="15" t="s">
        <v>72</v>
      </c>
      <c r="O15" s="15" t="s">
        <v>73</v>
      </c>
      <c r="P15" s="15" t="s">
        <v>74</v>
      </c>
      <c r="Q15" s="15" t="s">
        <v>86</v>
      </c>
      <c r="R15" s="15" t="s">
        <v>87</v>
      </c>
      <c r="S15" s="15" t="s">
        <v>88</v>
      </c>
      <c r="T15" s="18" t="s">
        <v>106</v>
      </c>
    </row>
    <row r="16" spans="1:20" ht="9" customHeight="1">
      <c r="A16" s="15"/>
      <c r="B16" s="15"/>
      <c r="C16" s="15"/>
      <c r="D16" s="15"/>
      <c r="E16" s="15"/>
      <c r="F16" s="16"/>
      <c r="G16" s="16"/>
      <c r="H16" s="15"/>
      <c r="I16" s="15"/>
      <c r="J16" s="17"/>
      <c r="K16" s="15"/>
      <c r="L16" s="15"/>
      <c r="M16" s="15"/>
      <c r="N16" s="15"/>
      <c r="O16" s="15"/>
      <c r="P16" s="15"/>
      <c r="Q16" s="15"/>
      <c r="R16" s="15"/>
      <c r="S16" s="15"/>
      <c r="T16" s="18"/>
    </row>
    <row r="17" spans="1:22" ht="12.75">
      <c r="A17" s="15">
        <v>1</v>
      </c>
      <c r="B17" s="118" t="s">
        <v>3</v>
      </c>
      <c r="C17" s="118"/>
      <c r="D17" s="118"/>
      <c r="E17" s="118"/>
      <c r="F17" s="113">
        <v>1211240</v>
      </c>
      <c r="G17" s="113"/>
      <c r="H17" s="15">
        <f>2500+9930+54400+3000+4800+54400</f>
        <v>129030</v>
      </c>
      <c r="I17" s="15">
        <f>2500+3000+14000+4800+9930+15000+54400</f>
        <v>103630</v>
      </c>
      <c r="J17" s="17">
        <f>2500+3000+4800+14000+9930+14000</f>
        <v>48230</v>
      </c>
      <c r="K17" s="15">
        <f>2500+54400+3000+4800+15000</f>
        <v>79700</v>
      </c>
      <c r="L17" s="15">
        <f>2500+4800+54400+14000+3000+9930</f>
        <v>88630</v>
      </c>
      <c r="M17" s="15">
        <f>2500+54400+3000+20000+4800+15000</f>
        <v>99700</v>
      </c>
      <c r="N17" s="15">
        <f>2500+59000+20000+9930+3300+10600+5200+59000+4800</f>
        <v>174330</v>
      </c>
      <c r="O17" s="44">
        <f>2500+3300+20000+20530+5200+15000</f>
        <v>66530</v>
      </c>
      <c r="P17" s="44">
        <f>2500+59000+3300+20000+10600+5200</f>
        <v>100600</v>
      </c>
      <c r="Q17" s="44">
        <f>2500+3300+20000+59000+10600+15000+5200</f>
        <v>115600</v>
      </c>
      <c r="R17" s="15">
        <f>2500+3300+20000+10600+5200+59000</f>
        <v>100600</v>
      </c>
      <c r="S17" s="15">
        <f>2500+59000+3300+20000+7500+5200+10600</f>
        <v>108100</v>
      </c>
      <c r="T17" s="31">
        <f>H17+I17+J17+K17+L17+M17+N17+O17+P17+Q17+R17+S17</f>
        <v>1214680</v>
      </c>
      <c r="U17" s="36">
        <f>F17-T17</f>
        <v>-3440</v>
      </c>
      <c r="V17" s="44">
        <f>F17-T17</f>
        <v>-3440</v>
      </c>
    </row>
    <row r="18" spans="1:22" ht="12.75">
      <c r="A18" s="15">
        <v>2</v>
      </c>
      <c r="B18" s="118" t="s">
        <v>4</v>
      </c>
      <c r="C18" s="118"/>
      <c r="D18" s="118"/>
      <c r="E18" s="118"/>
      <c r="F18" s="113">
        <v>1813330</v>
      </c>
      <c r="G18" s="113"/>
      <c r="H18" s="15">
        <f>90364.06+21606.89</f>
        <v>111970.95</v>
      </c>
      <c r="I18" s="15">
        <f>104178.51+14830.75</f>
        <v>119009.26</v>
      </c>
      <c r="J18" s="17">
        <f>151560.38+12996.58</f>
        <v>164556.96</v>
      </c>
      <c r="K18" s="15">
        <f>117581.4+14044.9</f>
        <v>131626.3</v>
      </c>
      <c r="L18" s="15">
        <f>90736.74+17090.88</f>
        <v>107827.62000000001</v>
      </c>
      <c r="M18" s="15">
        <f>109688.83+12154.28</f>
        <v>121843.11</v>
      </c>
      <c r="N18" s="15">
        <f>110426.65+20795.58</f>
        <v>131222.22999999998</v>
      </c>
      <c r="O18" s="15">
        <f>134148.02+16947.25</f>
        <v>151095.27</v>
      </c>
      <c r="P18" s="44">
        <f>140444.39+16592.16</f>
        <v>157036.55000000002</v>
      </c>
      <c r="Q18" s="44">
        <f>173951.63+20144.33</f>
        <v>194095.96000000002</v>
      </c>
      <c r="R18" s="15">
        <f>99070.37-17.2+24285.7</f>
        <v>123338.87</v>
      </c>
      <c r="S18" s="15">
        <f>193886.58+8770.4</f>
        <v>202656.97999999998</v>
      </c>
      <c r="T18" s="31">
        <f aca="true" t="shared" si="0" ref="T18:T24">H18+I18+J18+K18+L18+M18+N18+O18+P18+Q18+R18+S18</f>
        <v>1716280.06</v>
      </c>
      <c r="U18" s="36"/>
      <c r="V18" s="44">
        <f aca="true" t="shared" si="1" ref="V18:V66">F18-T18</f>
        <v>97049.93999999994</v>
      </c>
    </row>
    <row r="19" spans="1:22" ht="12.75">
      <c r="A19" s="15">
        <v>3</v>
      </c>
      <c r="B19" s="118" t="s">
        <v>5</v>
      </c>
      <c r="C19" s="118"/>
      <c r="D19" s="118"/>
      <c r="E19" s="118"/>
      <c r="F19" s="113">
        <v>234650</v>
      </c>
      <c r="G19" s="113"/>
      <c r="H19" s="15">
        <v>15762.71</v>
      </c>
      <c r="I19" s="15">
        <v>16856.29</v>
      </c>
      <c r="J19" s="17">
        <v>23371.99</v>
      </c>
      <c r="K19" s="15">
        <v>18592.08</v>
      </c>
      <c r="L19" s="15">
        <v>15397.99</v>
      </c>
      <c r="M19" s="15">
        <v>17117.98</v>
      </c>
      <c r="N19" s="15">
        <v>17492.83</v>
      </c>
      <c r="O19" s="15">
        <v>18612.52</v>
      </c>
      <c r="P19" s="44">
        <v>18900.48</v>
      </c>
      <c r="Q19" s="44">
        <v>23304.75</v>
      </c>
      <c r="R19" s="15">
        <v>14801.29</v>
      </c>
      <c r="S19" s="15">
        <v>25167.31</v>
      </c>
      <c r="T19" s="31">
        <f t="shared" si="0"/>
        <v>225378.22000000003</v>
      </c>
      <c r="U19" s="36"/>
      <c r="V19" s="44">
        <f t="shared" si="1"/>
        <v>9271.77999999997</v>
      </c>
    </row>
    <row r="20" spans="1:22" ht="12.75" hidden="1">
      <c r="A20" s="15">
        <v>4</v>
      </c>
      <c r="B20" s="19" t="s">
        <v>43</v>
      </c>
      <c r="C20" s="19"/>
      <c r="D20" s="19"/>
      <c r="E20" s="19"/>
      <c r="F20" s="20"/>
      <c r="G20" s="20"/>
      <c r="H20" s="15"/>
      <c r="I20" s="15"/>
      <c r="J20" s="17"/>
      <c r="K20" s="15"/>
      <c r="L20" s="15"/>
      <c r="M20" s="15"/>
      <c r="N20" s="15"/>
      <c r="O20" s="15"/>
      <c r="P20" s="44"/>
      <c r="Q20" s="44"/>
      <c r="R20" s="15"/>
      <c r="S20" s="15"/>
      <c r="T20" s="31">
        <f t="shared" si="0"/>
        <v>0</v>
      </c>
      <c r="U20" s="36"/>
      <c r="V20" s="44">
        <f t="shared" si="1"/>
        <v>0</v>
      </c>
    </row>
    <row r="21" spans="1:22" ht="12.75">
      <c r="A21" s="15">
        <v>4</v>
      </c>
      <c r="B21" s="112" t="s">
        <v>6</v>
      </c>
      <c r="C21" s="112"/>
      <c r="D21" s="112"/>
      <c r="E21" s="112"/>
      <c r="F21" s="113">
        <v>8000</v>
      </c>
      <c r="G21" s="113"/>
      <c r="H21" s="15">
        <v>553.15</v>
      </c>
      <c r="I21" s="15">
        <v>574.04</v>
      </c>
      <c r="J21" s="17">
        <v>537.47</v>
      </c>
      <c r="K21" s="15">
        <v>530.18</v>
      </c>
      <c r="L21" s="15">
        <v>461.46</v>
      </c>
      <c r="M21" s="15"/>
      <c r="N21" s="15">
        <v>411.37</v>
      </c>
      <c r="O21" s="44">
        <v>471.6</v>
      </c>
      <c r="P21" s="44">
        <v>515.1</v>
      </c>
      <c r="Q21" s="44">
        <f>516.89</f>
        <v>516.89</v>
      </c>
      <c r="R21" s="15">
        <v>609.57</v>
      </c>
      <c r="S21" s="15">
        <v>657.75</v>
      </c>
      <c r="T21" s="31">
        <f t="shared" si="0"/>
        <v>5838.58</v>
      </c>
      <c r="U21" s="36"/>
      <c r="V21" s="44">
        <f t="shared" si="1"/>
        <v>2161.42</v>
      </c>
    </row>
    <row r="22" spans="1:22" ht="12.75">
      <c r="A22" s="15">
        <v>5</v>
      </c>
      <c r="B22" s="112" t="s">
        <v>107</v>
      </c>
      <c r="C22" s="112"/>
      <c r="D22" s="112"/>
      <c r="E22" s="112"/>
      <c r="F22" s="113">
        <v>84196.67</v>
      </c>
      <c r="G22" s="113"/>
      <c r="H22" s="15"/>
      <c r="I22" s="15"/>
      <c r="J22" s="17"/>
      <c r="K22" s="15"/>
      <c r="L22" s="15"/>
      <c r="M22" s="15"/>
      <c r="N22" s="15"/>
      <c r="O22" s="15"/>
      <c r="P22" s="44"/>
      <c r="Q22" s="44"/>
      <c r="R22" s="15"/>
      <c r="S22" s="15"/>
      <c r="T22" s="31">
        <v>66015.65</v>
      </c>
      <c r="U22" s="36"/>
      <c r="V22" s="44" t="s">
        <v>89</v>
      </c>
    </row>
    <row r="23" spans="1:22" ht="12.75">
      <c r="A23" s="15">
        <v>6</v>
      </c>
      <c r="B23" s="21" t="s">
        <v>108</v>
      </c>
      <c r="C23" s="21"/>
      <c r="D23" s="21"/>
      <c r="E23" s="21"/>
      <c r="F23" s="113">
        <v>1296602.15</v>
      </c>
      <c r="G23" s="113"/>
      <c r="H23" s="15"/>
      <c r="I23" s="15"/>
      <c r="J23" s="22"/>
      <c r="K23" s="15"/>
      <c r="L23" s="15"/>
      <c r="M23" s="15"/>
      <c r="N23" s="15"/>
      <c r="O23" s="15"/>
      <c r="P23" s="44"/>
      <c r="Q23" s="44"/>
      <c r="R23" s="15"/>
      <c r="S23" s="15"/>
      <c r="T23" s="31">
        <v>1538937.39</v>
      </c>
      <c r="U23" s="36"/>
      <c r="V23" s="44" t="s">
        <v>89</v>
      </c>
    </row>
    <row r="24" spans="1:22" ht="12.75">
      <c r="A24" s="15"/>
      <c r="B24" s="114" t="s">
        <v>8</v>
      </c>
      <c r="C24" s="114"/>
      <c r="D24" s="114"/>
      <c r="E24" s="114"/>
      <c r="F24" s="113">
        <f>SUM(F17:F23)</f>
        <v>4648018.82</v>
      </c>
      <c r="G24" s="113"/>
      <c r="H24" s="23">
        <f aca="true" t="shared" si="2" ref="H24:P24">SUM(H17:H23)</f>
        <v>257316.81</v>
      </c>
      <c r="I24" s="23">
        <f t="shared" si="2"/>
        <v>240069.59000000003</v>
      </c>
      <c r="J24" s="23">
        <f t="shared" si="2"/>
        <v>236696.41999999998</v>
      </c>
      <c r="K24" s="23">
        <f t="shared" si="2"/>
        <v>230448.56</v>
      </c>
      <c r="L24" s="23">
        <f t="shared" si="2"/>
        <v>212317.06999999998</v>
      </c>
      <c r="M24" s="45">
        <f t="shared" si="2"/>
        <v>238661.09</v>
      </c>
      <c r="N24" s="23">
        <f t="shared" si="2"/>
        <v>323456.43</v>
      </c>
      <c r="O24" s="45">
        <f t="shared" si="2"/>
        <v>236709.38999999998</v>
      </c>
      <c r="P24" s="45">
        <f t="shared" si="2"/>
        <v>277052.13</v>
      </c>
      <c r="Q24" s="45">
        <f>SUM(Q17:Q23)</f>
        <v>333517.60000000003</v>
      </c>
      <c r="R24" s="23">
        <f>SUM(R17:R23)</f>
        <v>239349.73</v>
      </c>
      <c r="S24" s="45">
        <f>SUM(S17:S23)</f>
        <v>336582.04</v>
      </c>
      <c r="T24" s="31">
        <f t="shared" si="0"/>
        <v>3162176.8600000003</v>
      </c>
      <c r="U24" s="36">
        <f>F24-T24</f>
        <v>1485841.96</v>
      </c>
      <c r="V24" s="44">
        <f>SUM(V17:V23)</f>
        <v>105043.13999999991</v>
      </c>
    </row>
    <row r="25" spans="1:22" ht="14.25" customHeight="1">
      <c r="A25" s="15"/>
      <c r="B25" s="15" t="s">
        <v>134</v>
      </c>
      <c r="C25" s="15"/>
      <c r="D25" s="15"/>
      <c r="E25" s="15"/>
      <c r="F25" s="16"/>
      <c r="G25" s="16"/>
      <c r="H25" s="15">
        <f>88277.95+123460.92+1600+95677.29+90569.63</f>
        <v>399585.79</v>
      </c>
      <c r="I25" s="15">
        <f>41199.24+338+107188.89+76052.64+79223.86+43398.34+107905.59+27236.58</f>
        <v>482543.13999999996</v>
      </c>
      <c r="J25" s="22">
        <f>60+79675.14+236.6+82003.88+64931.32+44039.98+79191.48+54576.08+80059.17+39636.66+86718.14+270.4</f>
        <v>611398.85</v>
      </c>
      <c r="K25" s="15">
        <f>44694.98+66470.28+59736.16+67073.89+49287.16+121932.66+45044.17+34711.64</f>
        <v>488950.94</v>
      </c>
      <c r="L25" s="15">
        <f>84244.89+270.4+35640.54+70384.08+51433.08+92263.42+63669.16</f>
        <v>397905.56999999995</v>
      </c>
      <c r="M25" s="15">
        <f>52613.71+405+41259.38+82995.42+50083.44+112212.59+49908.11+67342.72</f>
        <v>456820.37</v>
      </c>
      <c r="N25" s="15">
        <f>68699.09+40126.1+26442.35+57983.5+53969.03+46754.29+45350.87+34444.76+41412.08+31797.89</f>
        <v>446979.96</v>
      </c>
      <c r="O25" s="44">
        <f>56686.77+55010.28+268.4+92964.01+40926.27+60258.32+42138.71+40266.64+25894.47</f>
        <v>414413.87</v>
      </c>
      <c r="P25" s="44">
        <f>36322.17+27219.19+780+47316.9+75151.26+179+60344.18+93488.45+63728.56+22687.71+33689.88</f>
        <v>460907.30000000005</v>
      </c>
      <c r="Q25" s="44">
        <f>78504.42+62869.39+83199.79+104231.57+38170.46+76409.18+66659.18+34948.69+38878.53</f>
        <v>583871.21</v>
      </c>
      <c r="R25" s="15">
        <f>179+47222.95+2000+52306.58+74160.78+54871.97+39141.32+39983.1+76713.92</f>
        <v>386579.61999999994</v>
      </c>
      <c r="S25" s="44">
        <f>55130.19+90196.72+78982.7+50756.78+91549.34+36534.33+89305.76+65523.86+67343.38+358+26</f>
        <v>625707.06</v>
      </c>
      <c r="T25" s="18"/>
      <c r="U25" s="30"/>
      <c r="V25" s="44"/>
    </row>
    <row r="26" spans="1:22" ht="15" customHeight="1">
      <c r="A26" s="119" t="s">
        <v>9</v>
      </c>
      <c r="B26" s="119"/>
      <c r="C26" s="119"/>
      <c r="D26" s="15"/>
      <c r="E26" s="15"/>
      <c r="F26" s="16"/>
      <c r="G26" s="16"/>
      <c r="H26" s="15" t="s">
        <v>65</v>
      </c>
      <c r="I26" s="15"/>
      <c r="J26" s="22"/>
      <c r="K26" s="15"/>
      <c r="L26" s="15"/>
      <c r="M26" s="15"/>
      <c r="N26" s="15"/>
      <c r="O26" s="15"/>
      <c r="P26" s="15"/>
      <c r="Q26" s="15"/>
      <c r="R26" s="15"/>
      <c r="S26" s="15"/>
      <c r="T26" s="18"/>
      <c r="U26" s="30"/>
      <c r="V26" s="44"/>
    </row>
    <row r="27" spans="1:22" ht="8.25" customHeight="1">
      <c r="A27" s="15"/>
      <c r="B27" s="15"/>
      <c r="C27" s="15"/>
      <c r="D27" s="15"/>
      <c r="E27" s="15"/>
      <c r="F27" s="16"/>
      <c r="G27" s="16"/>
      <c r="H27" s="15"/>
      <c r="I27" s="15"/>
      <c r="J27" s="22"/>
      <c r="K27" s="15"/>
      <c r="L27" s="15"/>
      <c r="M27" s="15"/>
      <c r="N27" s="15"/>
      <c r="O27" s="15"/>
      <c r="P27" s="15"/>
      <c r="Q27" s="15"/>
      <c r="R27" s="15"/>
      <c r="S27" s="15"/>
      <c r="T27" s="18"/>
      <c r="U27" s="30"/>
      <c r="V27" s="44"/>
    </row>
    <row r="28" spans="1:22" ht="8.25" customHeight="1">
      <c r="A28" s="15"/>
      <c r="B28" s="15"/>
      <c r="C28" s="15"/>
      <c r="D28" s="15"/>
      <c r="E28" s="15"/>
      <c r="F28" s="16"/>
      <c r="G28" s="16"/>
      <c r="H28" s="15"/>
      <c r="I28" s="15"/>
      <c r="J28" s="22"/>
      <c r="K28" s="15"/>
      <c r="L28" s="15"/>
      <c r="M28" s="15"/>
      <c r="N28" s="15"/>
      <c r="O28" s="15"/>
      <c r="P28" s="15"/>
      <c r="Q28" s="15"/>
      <c r="R28" s="15"/>
      <c r="S28" s="15"/>
      <c r="T28" s="18"/>
      <c r="U28" s="30"/>
      <c r="V28" s="44"/>
    </row>
    <row r="29" spans="1:22" ht="8.25" customHeight="1">
      <c r="A29" s="15"/>
      <c r="B29" s="15"/>
      <c r="C29" s="15"/>
      <c r="D29" s="15"/>
      <c r="E29" s="15"/>
      <c r="F29" s="16"/>
      <c r="G29" s="16"/>
      <c r="H29" s="15"/>
      <c r="I29" s="15"/>
      <c r="J29" s="22"/>
      <c r="K29" s="15"/>
      <c r="L29" s="15"/>
      <c r="M29" s="15"/>
      <c r="N29" s="15"/>
      <c r="O29" s="15"/>
      <c r="P29" s="15"/>
      <c r="Q29" s="15"/>
      <c r="R29" s="15"/>
      <c r="S29" s="15"/>
      <c r="T29" s="18"/>
      <c r="U29" s="30"/>
      <c r="V29" s="44"/>
    </row>
    <row r="30" spans="1:22" ht="8.25" customHeight="1">
      <c r="A30" s="15"/>
      <c r="B30" s="15"/>
      <c r="C30" s="15"/>
      <c r="D30" s="15"/>
      <c r="E30" s="15"/>
      <c r="F30" s="16"/>
      <c r="G30" s="16"/>
      <c r="H30" s="15"/>
      <c r="I30" s="15"/>
      <c r="J30" s="22"/>
      <c r="K30" s="15"/>
      <c r="L30" s="15"/>
      <c r="M30" s="15"/>
      <c r="N30" s="15"/>
      <c r="O30" s="15"/>
      <c r="P30" s="15"/>
      <c r="Q30" s="15"/>
      <c r="R30" s="15"/>
      <c r="S30" s="15"/>
      <c r="T30" s="18"/>
      <c r="U30" s="30"/>
      <c r="V30" s="44"/>
    </row>
    <row r="31" spans="1:22" ht="8.25" customHeight="1">
      <c r="A31" s="15"/>
      <c r="B31" s="15"/>
      <c r="C31" s="15"/>
      <c r="D31" s="15"/>
      <c r="E31" s="15"/>
      <c r="F31" s="16"/>
      <c r="G31" s="16"/>
      <c r="H31" s="15"/>
      <c r="I31" s="15"/>
      <c r="J31" s="22"/>
      <c r="K31" s="15"/>
      <c r="L31" s="15"/>
      <c r="M31" s="15"/>
      <c r="N31" s="15"/>
      <c r="O31" s="15"/>
      <c r="P31" s="15"/>
      <c r="Q31" s="15"/>
      <c r="R31" s="15"/>
      <c r="S31" s="15"/>
      <c r="T31" s="18"/>
      <c r="U31" s="30"/>
      <c r="V31" s="44"/>
    </row>
    <row r="32" spans="1:22" ht="12.75">
      <c r="A32" s="15">
        <v>1</v>
      </c>
      <c r="B32" s="118" t="s">
        <v>10</v>
      </c>
      <c r="C32" s="118"/>
      <c r="D32" s="118"/>
      <c r="E32" s="118"/>
      <c r="F32" s="113">
        <v>1054380</v>
      </c>
      <c r="G32" s="113"/>
      <c r="H32" s="22">
        <f>76554</f>
        <v>76554</v>
      </c>
      <c r="I32" s="22">
        <f>34343+13050+13050+2001+40000+72695-30000-2300-45977</f>
        <v>96862</v>
      </c>
      <c r="J32" s="22">
        <f>26100+8700+26100+71980-30000-10000-30000</f>
        <v>62880</v>
      </c>
      <c r="K32" s="34">
        <f>40824+60000+76272-68966</f>
        <v>108130</v>
      </c>
      <c r="L32" s="22">
        <f>11740+28900+14999+79054-33218-17240-3200</f>
        <v>81035</v>
      </c>
      <c r="M32" s="22">
        <f>10000+83422-11494-4000</f>
        <v>77928</v>
      </c>
      <c r="N32" s="22">
        <f>13886+28788+60001+3507+79753+6000-68966-4031-4000-6897</f>
        <v>108041</v>
      </c>
      <c r="O32" s="22">
        <f>1300+11000+82473.16-1494-12644-4000</f>
        <v>76635.16</v>
      </c>
      <c r="P32" s="22">
        <f>14087+18505+18793+105580-8046-46091-4000</f>
        <v>98828</v>
      </c>
      <c r="Q32" s="22">
        <f>13168+3500+14393.17+70727-4023-4000</f>
        <v>93765.17</v>
      </c>
      <c r="R32" s="22">
        <f>15130+11001+13001+77750-12644-14944-4000</f>
        <v>85294</v>
      </c>
      <c r="S32" s="22">
        <f>15234+26005+77946-29890-4000</f>
        <v>85295</v>
      </c>
      <c r="T32" s="31">
        <f>H32+I32+J32+K32+L32+M32+N32+O32+P32+Q32+R32+S32</f>
        <v>1051247.33</v>
      </c>
      <c r="U32" s="29"/>
      <c r="V32" s="44">
        <f>F32-T32</f>
        <v>3132.6699999999255</v>
      </c>
    </row>
    <row r="33" spans="1:22" ht="12.75">
      <c r="A33" s="15">
        <v>2</v>
      </c>
      <c r="B33" s="19" t="s">
        <v>64</v>
      </c>
      <c r="C33" s="19"/>
      <c r="D33" s="19"/>
      <c r="E33" s="19"/>
      <c r="F33" s="113">
        <v>30000</v>
      </c>
      <c r="G33" s="115"/>
      <c r="H33" s="15"/>
      <c r="I33" s="15"/>
      <c r="J33" s="17">
        <f>14200-8700</f>
        <v>5500</v>
      </c>
      <c r="K33" s="24"/>
      <c r="L33" s="15"/>
      <c r="M33" s="15"/>
      <c r="N33" s="15"/>
      <c r="O33" s="15"/>
      <c r="P33" s="15"/>
      <c r="Q33" s="15"/>
      <c r="R33" s="15"/>
      <c r="S33" s="15"/>
      <c r="T33" s="31">
        <f aca="true" t="shared" si="3" ref="T33:T86">H33+I33+J33+K33+L33+M33+N33+O33+P33+Q33+R33+S33</f>
        <v>5500</v>
      </c>
      <c r="U33" s="29"/>
      <c r="V33" s="44">
        <f t="shared" si="1"/>
        <v>24500</v>
      </c>
    </row>
    <row r="34" spans="1:22" ht="12.75">
      <c r="A34" s="15">
        <f>A33+1</f>
        <v>3</v>
      </c>
      <c r="B34" s="118" t="s">
        <v>11</v>
      </c>
      <c r="C34" s="118"/>
      <c r="D34" s="118"/>
      <c r="E34" s="118"/>
      <c r="F34" s="113">
        <v>318423</v>
      </c>
      <c r="G34" s="113"/>
      <c r="H34" s="22"/>
      <c r="I34" s="22">
        <f>2034+2402+4071+16423+2035+4977+8595+35953-9060-694.6-13885</f>
        <v>52850.399999999994</v>
      </c>
      <c r="J34" s="22">
        <f>-9060-3020-9060</f>
        <v>-21140</v>
      </c>
      <c r="K34" s="22">
        <f>4186+4454+7673+29860+1710+4381+7536+31771-20828</f>
        <v>70743</v>
      </c>
      <c r="L34" s="22">
        <f>3703+3936+6756+26410-10032-5206-966</f>
        <v>24601</v>
      </c>
      <c r="M34" s="22">
        <f>-3471-1208</f>
        <v>-4679</v>
      </c>
      <c r="N34" s="22">
        <f>2399+2951+5023+20246+2124+4813+8297+34642-20828-1217-1208-2083</f>
        <v>55159</v>
      </c>
      <c r="O34" s="22">
        <f>-451-3818-1208</f>
        <v>-5477</v>
      </c>
      <c r="P34" s="22">
        <f>143+1987+2997+5102+20999+273+28412-2430-13919-1208+2054+3982+6837</f>
        <v>55229</v>
      </c>
      <c r="Q34" s="22">
        <f>191+1813+2786+4728+19592-1215-1208</f>
        <v>26687</v>
      </c>
      <c r="R34" s="22">
        <f>220+2468+3230+5513+22283-3818-4513-1208</f>
        <v>24175</v>
      </c>
      <c r="S34" s="22">
        <f>214.95+1571.81+3162.88+5258.89+22896.48-9027-1208+18120</f>
        <v>40990.01</v>
      </c>
      <c r="T34" s="31">
        <f t="shared" si="3"/>
        <v>319138.41000000003</v>
      </c>
      <c r="U34" s="29"/>
      <c r="V34" s="44">
        <f t="shared" si="1"/>
        <v>-715.4100000000326</v>
      </c>
    </row>
    <row r="35" spans="1:22" ht="12.75" hidden="1">
      <c r="A35" s="15">
        <f aca="true" t="shared" si="4" ref="A35:A58">A34+1</f>
        <v>4</v>
      </c>
      <c r="B35" s="118" t="s">
        <v>113</v>
      </c>
      <c r="C35" s="118"/>
      <c r="D35" s="118"/>
      <c r="E35" s="118"/>
      <c r="F35" s="113"/>
      <c r="G35" s="113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31">
        <f t="shared" si="3"/>
        <v>0</v>
      </c>
      <c r="U35" s="29"/>
      <c r="V35" s="44">
        <f t="shared" si="1"/>
        <v>0</v>
      </c>
    </row>
    <row r="36" spans="1:22" ht="12.75">
      <c r="A36" s="15">
        <v>4</v>
      </c>
      <c r="B36" s="112" t="s">
        <v>117</v>
      </c>
      <c r="C36" s="112"/>
      <c r="D36" s="112"/>
      <c r="E36" s="112"/>
      <c r="F36" s="113">
        <v>10000</v>
      </c>
      <c r="G36" s="113"/>
      <c r="H36" s="15"/>
      <c r="I36" s="15"/>
      <c r="J36" s="22"/>
      <c r="K36" s="22"/>
      <c r="L36" s="15"/>
      <c r="M36" s="15"/>
      <c r="N36" s="15"/>
      <c r="O36" s="15"/>
      <c r="P36" s="15">
        <f>7628</f>
        <v>7628</v>
      </c>
      <c r="Q36" s="15"/>
      <c r="R36" s="15"/>
      <c r="S36" s="15"/>
      <c r="T36" s="31">
        <f t="shared" si="3"/>
        <v>7628</v>
      </c>
      <c r="U36" s="29"/>
      <c r="V36" s="44">
        <f t="shared" si="1"/>
        <v>2372</v>
      </c>
    </row>
    <row r="37" spans="1:22" ht="12.75">
      <c r="A37" s="15">
        <f t="shared" si="4"/>
        <v>5</v>
      </c>
      <c r="B37" s="112" t="s">
        <v>118</v>
      </c>
      <c r="C37" s="112"/>
      <c r="D37" s="112"/>
      <c r="E37" s="112"/>
      <c r="F37" s="113">
        <v>30000</v>
      </c>
      <c r="G37" s="113"/>
      <c r="H37" s="15">
        <v>444</v>
      </c>
      <c r="I37" s="15"/>
      <c r="J37" s="17">
        <v>469.38</v>
      </c>
      <c r="K37" s="22"/>
      <c r="L37" s="22">
        <v>25000</v>
      </c>
      <c r="M37" s="22"/>
      <c r="N37" s="22">
        <v>469.38</v>
      </c>
      <c r="O37" s="22"/>
      <c r="P37" s="22">
        <v>469.38</v>
      </c>
      <c r="Q37" s="22"/>
      <c r="R37" s="22"/>
      <c r="S37" s="22">
        <v>469.38</v>
      </c>
      <c r="T37" s="31">
        <f t="shared" si="3"/>
        <v>27321.520000000004</v>
      </c>
      <c r="U37" s="29"/>
      <c r="V37" s="44">
        <f t="shared" si="1"/>
        <v>2678.479999999996</v>
      </c>
    </row>
    <row r="38" spans="1:22" ht="12.75">
      <c r="A38" s="15">
        <f t="shared" si="4"/>
        <v>6</v>
      </c>
      <c r="B38" s="112" t="s">
        <v>119</v>
      </c>
      <c r="C38" s="112"/>
      <c r="D38" s="112"/>
      <c r="E38" s="112"/>
      <c r="F38" s="113">
        <v>90000</v>
      </c>
      <c r="G38" s="113"/>
      <c r="H38" s="22">
        <v>7476.56</v>
      </c>
      <c r="I38" s="22">
        <v>8446.62</v>
      </c>
      <c r="J38" s="22">
        <v>6293.56</v>
      </c>
      <c r="K38" s="22">
        <v>6293.56</v>
      </c>
      <c r="L38" s="22">
        <f>3271.84</f>
        <v>3271.84</v>
      </c>
      <c r="M38" s="22">
        <f>1051.18+4441.32</f>
        <v>5492.5</v>
      </c>
      <c r="N38" s="22">
        <v>3200.86</v>
      </c>
      <c r="O38" s="22">
        <v>10000</v>
      </c>
      <c r="P38" s="22">
        <v>5000</v>
      </c>
      <c r="Q38" s="22"/>
      <c r="R38" s="22">
        <v>5000</v>
      </c>
      <c r="S38" s="22">
        <f>5000+4000</f>
        <v>9000</v>
      </c>
      <c r="T38" s="31">
        <f t="shared" si="3"/>
        <v>69475.5</v>
      </c>
      <c r="U38" s="29"/>
      <c r="V38" s="44">
        <f t="shared" si="1"/>
        <v>20524.5</v>
      </c>
    </row>
    <row r="39" spans="1:22" ht="12.75">
      <c r="A39" s="15">
        <f t="shared" si="4"/>
        <v>7</v>
      </c>
      <c r="B39" s="112" t="s">
        <v>16</v>
      </c>
      <c r="C39" s="112"/>
      <c r="D39" s="112"/>
      <c r="E39" s="112"/>
      <c r="F39" s="113">
        <v>80000</v>
      </c>
      <c r="G39" s="113"/>
      <c r="H39" s="22">
        <f>1700+125+1550+1200+100+1000</f>
        <v>5675</v>
      </c>
      <c r="I39" s="22">
        <f>160+660+20+600+60+80+570+140+80+600+1300</f>
        <v>4270</v>
      </c>
      <c r="J39" s="22">
        <f>180+660+20+660+20+660+200+780+80+420+1300</f>
        <v>4980</v>
      </c>
      <c r="K39" s="22">
        <f>280+660+260+20+660+20+600+200+160+720+80+1300</f>
        <v>4960</v>
      </c>
      <c r="L39" s="22">
        <f>200+960+360+160+80+750+80+360+1300</f>
        <v>4250</v>
      </c>
      <c r="M39" s="22">
        <f>100+600+20+420+340+80+540+180+840+1300</f>
        <v>4420</v>
      </c>
      <c r="N39" s="22">
        <f>440+600+20+80+720+20+600+80+80+1300</f>
        <v>3940</v>
      </c>
      <c r="O39" s="22">
        <f>260+600+120+780+20+600+80+600+160+1300</f>
        <v>4520</v>
      </c>
      <c r="P39" s="22">
        <f>100+720+180+20+840+180+900+80+1300</f>
        <v>4320</v>
      </c>
      <c r="Q39" s="22">
        <f>500+600+40+840+20+1020+80+600+80+600+1300</f>
        <v>5680</v>
      </c>
      <c r="R39" s="22">
        <f>260+480+120+720+180+840+240+80+490+810</f>
        <v>4220</v>
      </c>
      <c r="S39" s="22">
        <f>20+720+40+600+660+180+780+500+80+600+240+490+810</f>
        <v>5720</v>
      </c>
      <c r="T39" s="31">
        <f t="shared" si="3"/>
        <v>56955</v>
      </c>
      <c r="U39" s="29"/>
      <c r="V39" s="44">
        <f t="shared" si="1"/>
        <v>23045</v>
      </c>
    </row>
    <row r="40" spans="1:22" ht="12.75">
      <c r="A40" s="15">
        <f t="shared" si="4"/>
        <v>8</v>
      </c>
      <c r="B40" s="112" t="s">
        <v>15</v>
      </c>
      <c r="C40" s="112"/>
      <c r="D40" s="112"/>
      <c r="E40" s="112"/>
      <c r="F40" s="113">
        <v>13000</v>
      </c>
      <c r="G40" s="113"/>
      <c r="H40" s="15">
        <f>24.15+772.66</f>
        <v>796.81</v>
      </c>
      <c r="I40" s="15">
        <f>44.44+646.52</f>
        <v>690.96</v>
      </c>
      <c r="J40" s="22">
        <f>992.95</f>
        <v>992.95</v>
      </c>
      <c r="K40" s="25">
        <f>786.93</f>
        <v>786.93</v>
      </c>
      <c r="L40" s="15">
        <f>801.82</f>
        <v>801.82</v>
      </c>
      <c r="M40" s="22">
        <v>953.97</v>
      </c>
      <c r="N40" s="15">
        <v>879.34</v>
      </c>
      <c r="O40" s="15">
        <v>785.62</v>
      </c>
      <c r="P40" s="22">
        <f>789.29</f>
        <v>789.29</v>
      </c>
      <c r="Q40" s="15">
        <f>2474.27</f>
        <v>2474.27</v>
      </c>
      <c r="R40" s="15">
        <f>950.24</f>
        <v>950.24</v>
      </c>
      <c r="S40" s="15"/>
      <c r="T40" s="31">
        <f t="shared" si="3"/>
        <v>10902.2</v>
      </c>
      <c r="U40" s="29"/>
      <c r="V40" s="44">
        <f t="shared" si="1"/>
        <v>2097.7999999999993</v>
      </c>
    </row>
    <row r="41" spans="1:22" ht="12.75">
      <c r="A41" s="15">
        <f t="shared" si="4"/>
        <v>9</v>
      </c>
      <c r="B41" s="112" t="s">
        <v>45</v>
      </c>
      <c r="C41" s="112"/>
      <c r="D41" s="112"/>
      <c r="E41" s="112"/>
      <c r="F41" s="116">
        <v>70000</v>
      </c>
      <c r="G41" s="116"/>
      <c r="H41" s="22"/>
      <c r="I41" s="15"/>
      <c r="J41" s="22">
        <f>2350</f>
        <v>2350</v>
      </c>
      <c r="K41" s="22">
        <f>14634.73</f>
        <v>14634.73</v>
      </c>
      <c r="L41" s="22">
        <f>650</f>
        <v>650</v>
      </c>
      <c r="M41" s="22"/>
      <c r="N41" s="22"/>
      <c r="O41" s="22">
        <f>1298.3</f>
        <v>1298.3</v>
      </c>
      <c r="P41" s="22"/>
      <c r="Q41" s="15"/>
      <c r="R41" s="22">
        <f>700</f>
        <v>700</v>
      </c>
      <c r="S41" s="22">
        <f>29263.37+21000</f>
        <v>50263.369999999995</v>
      </c>
      <c r="T41" s="31">
        <f t="shared" si="3"/>
        <v>69896.4</v>
      </c>
      <c r="U41" s="29"/>
      <c r="V41" s="44">
        <f t="shared" si="1"/>
        <v>103.60000000000582</v>
      </c>
    </row>
    <row r="42" spans="1:22" ht="12.75">
      <c r="A42" s="15">
        <f t="shared" si="4"/>
        <v>10</v>
      </c>
      <c r="B42" s="112" t="s">
        <v>46</v>
      </c>
      <c r="C42" s="112"/>
      <c r="D42" s="112"/>
      <c r="E42" s="112"/>
      <c r="F42" s="116">
        <v>10000</v>
      </c>
      <c r="G42" s="116"/>
      <c r="H42" s="22"/>
      <c r="I42" s="15"/>
      <c r="J42" s="17"/>
      <c r="K42" s="25"/>
      <c r="L42" s="15"/>
      <c r="M42" s="15"/>
      <c r="N42" s="15"/>
      <c r="O42" s="15"/>
      <c r="P42" s="22"/>
      <c r="Q42" s="15"/>
      <c r="R42" s="15"/>
      <c r="S42" s="15">
        <v>9500</v>
      </c>
      <c r="T42" s="31">
        <f t="shared" si="3"/>
        <v>9500</v>
      </c>
      <c r="U42" s="29"/>
      <c r="V42" s="44">
        <f t="shared" si="1"/>
        <v>500</v>
      </c>
    </row>
    <row r="43" spans="1:22" ht="12.75">
      <c r="A43" s="15">
        <f t="shared" si="4"/>
        <v>11</v>
      </c>
      <c r="B43" s="112" t="s">
        <v>109</v>
      </c>
      <c r="C43" s="112"/>
      <c r="D43" s="112"/>
      <c r="E43" s="112"/>
      <c r="F43" s="116">
        <v>120000</v>
      </c>
      <c r="G43" s="116"/>
      <c r="H43" s="15"/>
      <c r="I43" s="15">
        <f>2994.6</f>
        <v>2994.6</v>
      </c>
      <c r="J43" s="17">
        <v>13020</v>
      </c>
      <c r="K43" s="25"/>
      <c r="L43" s="15"/>
      <c r="M43" s="22">
        <f>14965</f>
        <v>14965</v>
      </c>
      <c r="N43" s="34">
        <f>5248+8980</f>
        <v>14228</v>
      </c>
      <c r="O43" s="34">
        <f>1945+16462</f>
        <v>18407</v>
      </c>
      <c r="P43" s="15">
        <f>10476</f>
        <v>10476</v>
      </c>
      <c r="Q43" s="15">
        <f>5238</f>
        <v>5238</v>
      </c>
      <c r="R43" s="15">
        <f>16462</f>
        <v>16462</v>
      </c>
      <c r="S43" s="15">
        <v>22000</v>
      </c>
      <c r="T43" s="31">
        <f t="shared" si="3"/>
        <v>117790.6</v>
      </c>
      <c r="U43" s="29"/>
      <c r="V43" s="44">
        <f t="shared" si="1"/>
        <v>2209.399999999994</v>
      </c>
    </row>
    <row r="44" spans="1:22" ht="12.75">
      <c r="A44" s="15">
        <f t="shared" si="4"/>
        <v>12</v>
      </c>
      <c r="B44" s="112" t="s">
        <v>133</v>
      </c>
      <c r="C44" s="112"/>
      <c r="D44" s="112"/>
      <c r="E44" s="112"/>
      <c r="F44" s="113">
        <v>54000</v>
      </c>
      <c r="G44" s="113"/>
      <c r="H44" s="15">
        <f>1857.32</f>
        <v>1857.32</v>
      </c>
      <c r="I44" s="15">
        <v>1857.32</v>
      </c>
      <c r="J44" s="17">
        <v>7023.36</v>
      </c>
      <c r="K44" s="25">
        <v>1857.32</v>
      </c>
      <c r="L44" s="15">
        <f>1857.32+5166.04</f>
        <v>7023.36</v>
      </c>
      <c r="M44" s="22">
        <f>1857.32+5166.04</f>
        <v>7023.36</v>
      </c>
      <c r="N44" s="15">
        <f>736.32+1857.32</f>
        <v>2593.64</v>
      </c>
      <c r="O44" s="15">
        <v>1857.32</v>
      </c>
      <c r="P44" s="15">
        <f>1121</f>
        <v>1121</v>
      </c>
      <c r="Q44" s="15"/>
      <c r="R44" s="15">
        <f>1857.32+1857.32</f>
        <v>3714.64</v>
      </c>
      <c r="S44" s="15">
        <v>1857.32</v>
      </c>
      <c r="T44" s="31">
        <f t="shared" si="3"/>
        <v>37785.96</v>
      </c>
      <c r="U44" s="29"/>
      <c r="V44" s="44">
        <f t="shared" si="1"/>
        <v>16214.04</v>
      </c>
    </row>
    <row r="45" spans="1:22" ht="12.75">
      <c r="A45" s="15">
        <f t="shared" si="4"/>
        <v>13</v>
      </c>
      <c r="B45" s="112" t="s">
        <v>48</v>
      </c>
      <c r="C45" s="112"/>
      <c r="D45" s="112"/>
      <c r="E45" s="112"/>
      <c r="F45" s="116">
        <v>70000</v>
      </c>
      <c r="G45" s="116"/>
      <c r="H45" s="15"/>
      <c r="I45" s="15"/>
      <c r="J45" s="17"/>
      <c r="K45" s="25"/>
      <c r="L45" s="15">
        <f>22446</f>
        <v>22446</v>
      </c>
      <c r="M45" s="15"/>
      <c r="N45" s="15"/>
      <c r="O45" s="15"/>
      <c r="P45" s="15"/>
      <c r="Q45" s="15"/>
      <c r="R45" s="15">
        <v>19457</v>
      </c>
      <c r="S45" s="15">
        <f>16500+15560</f>
        <v>32060</v>
      </c>
      <c r="T45" s="31">
        <f t="shared" si="3"/>
        <v>73963</v>
      </c>
      <c r="U45" s="29"/>
      <c r="V45" s="44">
        <f t="shared" si="1"/>
        <v>-3963</v>
      </c>
    </row>
    <row r="46" spans="1:22" ht="12.75">
      <c r="A46" s="15">
        <f t="shared" si="4"/>
        <v>14</v>
      </c>
      <c r="B46" s="112" t="s">
        <v>54</v>
      </c>
      <c r="C46" s="112"/>
      <c r="D46" s="112"/>
      <c r="E46" s="112"/>
      <c r="F46" s="113">
        <v>280000</v>
      </c>
      <c r="G46" s="113"/>
      <c r="H46" s="15"/>
      <c r="I46" s="22">
        <f>7964.37+11625.93</f>
        <v>19590.3</v>
      </c>
      <c r="J46" s="22">
        <f>7964.37+11625.93</f>
        <v>19590.3</v>
      </c>
      <c r="K46" s="22">
        <f>7964.37+11625.93+2724.57</f>
        <v>22314.87</v>
      </c>
      <c r="L46" s="22">
        <f>2724.57+7964.37+11625.93</f>
        <v>22314.870000000003</v>
      </c>
      <c r="M46" s="22">
        <f>7964.37+11625.93</f>
        <v>19590.3</v>
      </c>
      <c r="N46" s="22">
        <f>7964.37+11625.93</f>
        <v>19590.3</v>
      </c>
      <c r="O46" s="22">
        <f>8681.11+12672.17</f>
        <v>21353.28</v>
      </c>
      <c r="P46" s="15">
        <f>8681.11+12672.17</f>
        <v>21353.28</v>
      </c>
      <c r="Q46" s="22">
        <f>8681.11+12672.17</f>
        <v>21353.28</v>
      </c>
      <c r="R46" s="15">
        <f>8681.11+12672.17+8681.11+12672.17</f>
        <v>42706.56</v>
      </c>
      <c r="S46" s="22">
        <f>8681.11+12672.17</f>
        <v>21353.28</v>
      </c>
      <c r="T46" s="31">
        <f t="shared" si="3"/>
        <v>251110.62</v>
      </c>
      <c r="U46" s="29"/>
      <c r="V46" s="44">
        <f t="shared" si="1"/>
        <v>28889.380000000005</v>
      </c>
    </row>
    <row r="47" spans="1:22" ht="12.75">
      <c r="A47" s="15">
        <f t="shared" si="4"/>
        <v>15</v>
      </c>
      <c r="B47" s="112" t="s">
        <v>120</v>
      </c>
      <c r="C47" s="112"/>
      <c r="D47" s="112"/>
      <c r="E47" s="112"/>
      <c r="F47" s="116">
        <v>30000</v>
      </c>
      <c r="G47" s="116"/>
      <c r="H47" s="15"/>
      <c r="I47" s="15">
        <v>2500</v>
      </c>
      <c r="J47" s="17">
        <v>2500</v>
      </c>
      <c r="K47" s="25">
        <v>2500</v>
      </c>
      <c r="L47" s="15">
        <v>2500</v>
      </c>
      <c r="M47" s="15">
        <v>2500</v>
      </c>
      <c r="N47" s="15">
        <v>2500</v>
      </c>
      <c r="O47" s="15">
        <v>2500</v>
      </c>
      <c r="P47" s="15">
        <v>2500</v>
      </c>
      <c r="Q47" s="15">
        <v>2500</v>
      </c>
      <c r="R47" s="15">
        <v>2500</v>
      </c>
      <c r="S47" s="15">
        <v>2500</v>
      </c>
      <c r="T47" s="31">
        <f t="shared" si="3"/>
        <v>27500</v>
      </c>
      <c r="U47" s="29"/>
      <c r="V47" s="44">
        <f t="shared" si="1"/>
        <v>2500</v>
      </c>
    </row>
    <row r="48" spans="1:22" ht="12.75">
      <c r="A48" s="15">
        <f t="shared" si="4"/>
        <v>16</v>
      </c>
      <c r="B48" s="117" t="s">
        <v>110</v>
      </c>
      <c r="C48" s="117"/>
      <c r="D48" s="117"/>
      <c r="E48" s="117"/>
      <c r="F48" s="116">
        <v>60000</v>
      </c>
      <c r="G48" s="116"/>
      <c r="H48" s="15"/>
      <c r="I48" s="15"/>
      <c r="J48" s="17"/>
      <c r="K48" s="25"/>
      <c r="L48" s="15"/>
      <c r="M48" s="22"/>
      <c r="N48" s="15"/>
      <c r="O48" s="22"/>
      <c r="P48" s="22"/>
      <c r="Q48" s="15"/>
      <c r="R48" s="15"/>
      <c r="S48" s="15"/>
      <c r="T48" s="31">
        <f t="shared" si="3"/>
        <v>0</v>
      </c>
      <c r="U48" s="29"/>
      <c r="V48" s="44">
        <f t="shared" si="1"/>
        <v>60000</v>
      </c>
    </row>
    <row r="49" spans="1:22" ht="12.75">
      <c r="A49" s="15">
        <f t="shared" si="4"/>
        <v>17</v>
      </c>
      <c r="B49" s="112" t="s">
        <v>111</v>
      </c>
      <c r="C49" s="112"/>
      <c r="D49" s="112"/>
      <c r="E49" s="112"/>
      <c r="F49" s="113">
        <v>45000</v>
      </c>
      <c r="G49" s="113"/>
      <c r="H49" s="15"/>
      <c r="I49" s="15"/>
      <c r="J49" s="17"/>
      <c r="K49" s="25"/>
      <c r="L49" s="22"/>
      <c r="M49" s="15"/>
      <c r="N49" s="15"/>
      <c r="O49" s="15"/>
      <c r="P49" s="15"/>
      <c r="Q49" s="15"/>
      <c r="R49" s="15"/>
      <c r="S49" s="15">
        <f>49980</f>
        <v>49980</v>
      </c>
      <c r="T49" s="31">
        <f t="shared" si="3"/>
        <v>49980</v>
      </c>
      <c r="U49" s="29"/>
      <c r="V49" s="44">
        <f t="shared" si="1"/>
        <v>-4980</v>
      </c>
    </row>
    <row r="50" spans="1:22" ht="12.75" hidden="1">
      <c r="A50" s="15">
        <f t="shared" si="4"/>
        <v>18</v>
      </c>
      <c r="B50" s="21" t="s">
        <v>51</v>
      </c>
      <c r="C50" s="21"/>
      <c r="D50" s="21"/>
      <c r="E50" s="21"/>
      <c r="F50" s="113" t="s">
        <v>89</v>
      </c>
      <c r="G50" s="115"/>
      <c r="H50" s="22"/>
      <c r="I50" s="22"/>
      <c r="J50" s="17"/>
      <c r="K50" s="22"/>
      <c r="L50" s="15"/>
      <c r="M50" s="22"/>
      <c r="N50" s="22"/>
      <c r="O50" s="22"/>
      <c r="P50" s="22"/>
      <c r="Q50" s="22"/>
      <c r="R50" s="22"/>
      <c r="S50" s="22"/>
      <c r="T50" s="31">
        <f t="shared" si="3"/>
        <v>0</v>
      </c>
      <c r="U50" s="29"/>
      <c r="V50" s="44" t="e">
        <f t="shared" si="1"/>
        <v>#VALUE!</v>
      </c>
    </row>
    <row r="51" spans="1:22" ht="12.75">
      <c r="A51" s="15">
        <v>18</v>
      </c>
      <c r="B51" s="21" t="s">
        <v>112</v>
      </c>
      <c r="C51" s="21"/>
      <c r="D51" s="21"/>
      <c r="E51" s="21"/>
      <c r="F51" s="113">
        <v>7000</v>
      </c>
      <c r="G51" s="115"/>
      <c r="H51" s="15"/>
      <c r="I51" s="15"/>
      <c r="J51" s="22"/>
      <c r="K51" s="25"/>
      <c r="L51" s="15"/>
      <c r="M51" s="22"/>
      <c r="N51" s="15"/>
      <c r="O51" s="15"/>
      <c r="P51" s="22"/>
      <c r="Q51" s="15"/>
      <c r="R51" s="15"/>
      <c r="S51" s="22">
        <f>3326.4+3000</f>
        <v>6326.4</v>
      </c>
      <c r="T51" s="31">
        <f t="shared" si="3"/>
        <v>6326.4</v>
      </c>
      <c r="U51" s="29"/>
      <c r="V51" s="44">
        <f t="shared" si="1"/>
        <v>673.6000000000004</v>
      </c>
    </row>
    <row r="52" spans="1:22" ht="12.75">
      <c r="A52" s="15"/>
      <c r="B52" s="39"/>
      <c r="C52" s="40"/>
      <c r="D52" s="40"/>
      <c r="E52" s="41"/>
      <c r="F52" s="37"/>
      <c r="G52" s="42"/>
      <c r="H52" s="15"/>
      <c r="I52" s="15"/>
      <c r="J52" s="22"/>
      <c r="K52" s="25"/>
      <c r="L52" s="15"/>
      <c r="M52" s="22"/>
      <c r="N52" s="15"/>
      <c r="O52" s="15"/>
      <c r="P52" s="22"/>
      <c r="Q52" s="15"/>
      <c r="R52" s="15"/>
      <c r="S52" s="22"/>
      <c r="T52" s="31"/>
      <c r="U52" s="29"/>
      <c r="V52" s="44">
        <f t="shared" si="1"/>
        <v>0</v>
      </c>
    </row>
    <row r="53" spans="1:22" ht="12.75">
      <c r="A53" s="15"/>
      <c r="B53" s="130" t="s">
        <v>8</v>
      </c>
      <c r="C53" s="131"/>
      <c r="D53" s="131"/>
      <c r="E53" s="132"/>
      <c r="F53" s="133">
        <f>SUM(F32:F51)</f>
        <v>2371803</v>
      </c>
      <c r="G53" s="134"/>
      <c r="H53" s="15">
        <f aca="true" t="shared" si="5" ref="H53:T53">SUM(H32:H52)</f>
        <v>92803.69</v>
      </c>
      <c r="I53" s="15">
        <f t="shared" si="5"/>
        <v>190062.19999999998</v>
      </c>
      <c r="J53" s="15">
        <f t="shared" si="5"/>
        <v>104459.54999999999</v>
      </c>
      <c r="K53" s="15">
        <f t="shared" si="5"/>
        <v>232220.41</v>
      </c>
      <c r="L53" s="15">
        <f t="shared" si="5"/>
        <v>193893.88999999998</v>
      </c>
      <c r="M53" s="15">
        <f t="shared" si="5"/>
        <v>128194.13</v>
      </c>
      <c r="N53" s="15">
        <f t="shared" si="5"/>
        <v>210601.52</v>
      </c>
      <c r="O53" s="15">
        <f t="shared" si="5"/>
        <v>131879.68</v>
      </c>
      <c r="P53" s="15">
        <f t="shared" si="5"/>
        <v>207713.95</v>
      </c>
      <c r="Q53" s="15">
        <f t="shared" si="5"/>
        <v>157697.72</v>
      </c>
      <c r="R53" s="15">
        <f t="shared" si="5"/>
        <v>205179.44</v>
      </c>
      <c r="S53" s="44">
        <f t="shared" si="5"/>
        <v>337314.76</v>
      </c>
      <c r="T53" s="44">
        <f t="shared" si="5"/>
        <v>2192020.94</v>
      </c>
      <c r="U53" s="29"/>
      <c r="V53" s="44">
        <f t="shared" si="1"/>
        <v>179782.06000000006</v>
      </c>
    </row>
    <row r="54" spans="1:22" ht="12.75">
      <c r="A54" s="15"/>
      <c r="B54" s="39"/>
      <c r="C54" s="40"/>
      <c r="D54" s="40"/>
      <c r="E54" s="41"/>
      <c r="F54" s="37"/>
      <c r="G54" s="38"/>
      <c r="H54" s="15"/>
      <c r="I54" s="15"/>
      <c r="J54" s="22"/>
      <c r="K54" s="25"/>
      <c r="L54" s="15"/>
      <c r="M54" s="22"/>
      <c r="N54" s="15"/>
      <c r="O54" s="15"/>
      <c r="P54" s="22"/>
      <c r="Q54" s="15"/>
      <c r="R54" s="15"/>
      <c r="S54" s="22"/>
      <c r="T54" s="31"/>
      <c r="U54" s="29"/>
      <c r="V54" s="44">
        <f t="shared" si="1"/>
        <v>0</v>
      </c>
    </row>
    <row r="55" spans="1:22" ht="12.75">
      <c r="A55" s="15">
        <f>A51+1</f>
        <v>19</v>
      </c>
      <c r="B55" s="21" t="s">
        <v>121</v>
      </c>
      <c r="C55" s="21"/>
      <c r="D55" s="21"/>
      <c r="E55" s="21"/>
      <c r="F55" s="113">
        <v>70000</v>
      </c>
      <c r="G55" s="115"/>
      <c r="H55" s="15"/>
      <c r="I55" s="15"/>
      <c r="J55" s="17">
        <v>28542</v>
      </c>
      <c r="K55" s="25"/>
      <c r="L55" s="15"/>
      <c r="M55" s="15"/>
      <c r="N55" s="15">
        <v>52300</v>
      </c>
      <c r="O55" s="15"/>
      <c r="P55" s="15"/>
      <c r="Q55" s="15">
        <v>25317</v>
      </c>
      <c r="R55" s="15"/>
      <c r="S55" s="15"/>
      <c r="T55" s="31">
        <f t="shared" si="3"/>
        <v>106159</v>
      </c>
      <c r="U55" s="29"/>
      <c r="V55" s="44">
        <f t="shared" si="1"/>
        <v>-36159</v>
      </c>
    </row>
    <row r="56" spans="1:22" ht="12.75">
      <c r="A56" s="15">
        <f t="shared" si="4"/>
        <v>20</v>
      </c>
      <c r="B56" s="21" t="s">
        <v>122</v>
      </c>
      <c r="C56" s="21"/>
      <c r="D56" s="21"/>
      <c r="E56" s="21"/>
      <c r="F56" s="113">
        <v>18000</v>
      </c>
      <c r="G56" s="115"/>
      <c r="H56" s="22"/>
      <c r="I56" s="15"/>
      <c r="J56" s="22"/>
      <c r="K56" s="22">
        <v>4500</v>
      </c>
      <c r="L56" s="15"/>
      <c r="M56" s="22"/>
      <c r="N56" s="22">
        <v>4500</v>
      </c>
      <c r="O56" s="22"/>
      <c r="P56" s="22"/>
      <c r="Q56" s="22">
        <v>4500</v>
      </c>
      <c r="R56" s="22"/>
      <c r="S56" s="22">
        <v>4500</v>
      </c>
      <c r="T56" s="31">
        <f t="shared" si="3"/>
        <v>18000</v>
      </c>
      <c r="U56" s="29"/>
      <c r="V56" s="44">
        <f t="shared" si="1"/>
        <v>0</v>
      </c>
    </row>
    <row r="57" spans="1:22" ht="12.75">
      <c r="A57" s="15">
        <f t="shared" si="4"/>
        <v>21</v>
      </c>
      <c r="B57" s="21" t="s">
        <v>123</v>
      </c>
      <c r="C57" s="21"/>
      <c r="D57" s="21"/>
      <c r="E57" s="21"/>
      <c r="F57" s="113">
        <v>310000</v>
      </c>
      <c r="G57" s="115"/>
      <c r="H57" s="15"/>
      <c r="I57" s="15">
        <v>59862</v>
      </c>
      <c r="J57" s="17"/>
      <c r="K57" s="25">
        <v>89794</v>
      </c>
      <c r="L57" s="15"/>
      <c r="M57" s="15"/>
      <c r="N57" s="15">
        <v>89794</v>
      </c>
      <c r="O57" s="22"/>
      <c r="P57" s="15">
        <v>60010</v>
      </c>
      <c r="Q57" s="15"/>
      <c r="R57" s="22"/>
      <c r="S57" s="15">
        <f>58674-47000</f>
        <v>11674</v>
      </c>
      <c r="T57" s="31">
        <f t="shared" si="3"/>
        <v>311134</v>
      </c>
      <c r="U57" s="29"/>
      <c r="V57" s="44">
        <f t="shared" si="1"/>
        <v>-1134</v>
      </c>
    </row>
    <row r="58" spans="1:22" ht="12.75">
      <c r="A58" s="15">
        <f t="shared" si="4"/>
        <v>22</v>
      </c>
      <c r="B58" s="21" t="s">
        <v>124</v>
      </c>
      <c r="C58" s="21"/>
      <c r="D58" s="21"/>
      <c r="E58" s="21"/>
      <c r="F58" s="113">
        <v>50000</v>
      </c>
      <c r="G58" s="115"/>
      <c r="H58" s="22"/>
      <c r="I58" s="22"/>
      <c r="J58" s="22"/>
      <c r="K58" s="22"/>
      <c r="L58" s="22"/>
      <c r="M58" s="22"/>
      <c r="N58" s="22"/>
      <c r="O58" s="22"/>
      <c r="P58" s="15"/>
      <c r="Q58" s="22"/>
      <c r="R58" s="22"/>
      <c r="S58" s="22">
        <f>38917+18970</f>
        <v>57887</v>
      </c>
      <c r="T58" s="31">
        <f t="shared" si="3"/>
        <v>57887</v>
      </c>
      <c r="U58" s="29"/>
      <c r="V58" s="44">
        <f t="shared" si="1"/>
        <v>-7887</v>
      </c>
    </row>
    <row r="59" spans="1:22" ht="12.75">
      <c r="A59" s="15">
        <v>23</v>
      </c>
      <c r="B59" s="21" t="s">
        <v>125</v>
      </c>
      <c r="C59" s="21"/>
      <c r="D59" s="21"/>
      <c r="E59" s="21"/>
      <c r="F59" s="133">
        <v>200000</v>
      </c>
      <c r="G59" s="134"/>
      <c r="H59" s="22"/>
      <c r="I59" s="22"/>
      <c r="J59" s="22"/>
      <c r="K59" s="22"/>
      <c r="L59" s="22"/>
      <c r="M59" s="22"/>
      <c r="N59" s="22"/>
      <c r="O59" s="22">
        <v>154047</v>
      </c>
      <c r="P59" s="15"/>
      <c r="Q59" s="22"/>
      <c r="R59" s="22"/>
      <c r="S59" s="22">
        <v>50450</v>
      </c>
      <c r="T59" s="31">
        <f t="shared" si="3"/>
        <v>204497</v>
      </c>
      <c r="U59" s="29"/>
      <c r="V59" s="44">
        <f t="shared" si="1"/>
        <v>-4497</v>
      </c>
    </row>
    <row r="60" spans="1:22" ht="12.75">
      <c r="A60" s="15">
        <v>24</v>
      </c>
      <c r="B60" s="39" t="s">
        <v>126</v>
      </c>
      <c r="C60" s="40"/>
      <c r="D60" s="40"/>
      <c r="E60" s="41"/>
      <c r="F60" s="133">
        <v>100000</v>
      </c>
      <c r="G60" s="134"/>
      <c r="H60" s="22"/>
      <c r="I60" s="22"/>
      <c r="J60" s="22">
        <v>39060</v>
      </c>
      <c r="K60" s="22"/>
      <c r="L60" s="22">
        <f>43250+4166</f>
        <v>47416</v>
      </c>
      <c r="M60" s="22">
        <f>5208</f>
        <v>5208</v>
      </c>
      <c r="N60" s="22">
        <v>5208</v>
      </c>
      <c r="O60" s="22">
        <v>5208</v>
      </c>
      <c r="P60" s="15">
        <v>5208</v>
      </c>
      <c r="Q60" s="22">
        <v>5208</v>
      </c>
      <c r="R60" s="22">
        <v>5208</v>
      </c>
      <c r="S60" s="22">
        <v>5208</v>
      </c>
      <c r="T60" s="31">
        <f t="shared" si="3"/>
        <v>122932</v>
      </c>
      <c r="U60" s="29"/>
      <c r="V60" s="44">
        <f t="shared" si="1"/>
        <v>-22932</v>
      </c>
    </row>
    <row r="61" spans="1:22" ht="12.75">
      <c r="A61" s="15">
        <v>25</v>
      </c>
      <c r="B61" s="39" t="s">
        <v>127</v>
      </c>
      <c r="C61" s="40"/>
      <c r="D61" s="40"/>
      <c r="E61" s="41"/>
      <c r="F61" s="133">
        <v>360000</v>
      </c>
      <c r="G61" s="134"/>
      <c r="H61" s="22"/>
      <c r="I61" s="22">
        <f>39060</f>
        <v>39060</v>
      </c>
      <c r="J61" s="22">
        <v>39060</v>
      </c>
      <c r="K61" s="22">
        <v>30000</v>
      </c>
      <c r="L61" s="22">
        <v>30000</v>
      </c>
      <c r="M61" s="22">
        <f>30000+45000</f>
        <v>75000</v>
      </c>
      <c r="N61" s="22"/>
      <c r="O61" s="22">
        <v>15000</v>
      </c>
      <c r="P61" s="15">
        <f>30000</f>
        <v>30000</v>
      </c>
      <c r="Q61" s="22">
        <f>30000+30000</f>
        <v>60000</v>
      </c>
      <c r="R61" s="22">
        <v>30000</v>
      </c>
      <c r="S61" s="22">
        <f>30000-18120</f>
        <v>11880</v>
      </c>
      <c r="T61" s="31">
        <f t="shared" si="3"/>
        <v>360000</v>
      </c>
      <c r="U61" s="29"/>
      <c r="V61" s="44">
        <f t="shared" si="1"/>
        <v>0</v>
      </c>
    </row>
    <row r="62" spans="1:22" ht="12.75">
      <c r="A62" s="15">
        <v>26</v>
      </c>
      <c r="B62" s="136" t="s">
        <v>114</v>
      </c>
      <c r="C62" s="137"/>
      <c r="D62" s="137"/>
      <c r="E62" s="138"/>
      <c r="F62" s="133">
        <v>60000</v>
      </c>
      <c r="G62" s="134"/>
      <c r="H62" s="22"/>
      <c r="I62" s="22"/>
      <c r="J62" s="22"/>
      <c r="K62" s="22">
        <f>20000+40000</f>
        <v>60000</v>
      </c>
      <c r="L62" s="22"/>
      <c r="M62" s="22"/>
      <c r="N62" s="22"/>
      <c r="O62" s="22"/>
      <c r="P62" s="15"/>
      <c r="Q62" s="22"/>
      <c r="R62" s="22"/>
      <c r="S62" s="22"/>
      <c r="T62" s="31">
        <f t="shared" si="3"/>
        <v>60000</v>
      </c>
      <c r="U62" s="29"/>
      <c r="V62" s="44">
        <f t="shared" si="1"/>
        <v>0</v>
      </c>
    </row>
    <row r="63" spans="1:22" ht="12.75">
      <c r="A63" s="15">
        <v>27</v>
      </c>
      <c r="B63" s="136" t="s">
        <v>115</v>
      </c>
      <c r="C63" s="137"/>
      <c r="D63" s="137"/>
      <c r="E63" s="138"/>
      <c r="F63" s="133">
        <v>46000</v>
      </c>
      <c r="G63" s="134"/>
      <c r="H63" s="22">
        <v>46000</v>
      </c>
      <c r="I63" s="22"/>
      <c r="J63" s="22"/>
      <c r="K63" s="22"/>
      <c r="L63" s="22"/>
      <c r="M63" s="22"/>
      <c r="N63" s="22"/>
      <c r="O63" s="22"/>
      <c r="P63" s="15"/>
      <c r="Q63" s="22">
        <v>3000</v>
      </c>
      <c r="R63" s="22"/>
      <c r="S63" s="22"/>
      <c r="T63" s="31">
        <f t="shared" si="3"/>
        <v>49000</v>
      </c>
      <c r="U63" s="29"/>
      <c r="V63" s="44">
        <f t="shared" si="1"/>
        <v>-3000</v>
      </c>
    </row>
    <row r="64" spans="1:22" ht="12.75">
      <c r="A64" s="15"/>
      <c r="B64" s="114" t="s">
        <v>8</v>
      </c>
      <c r="C64" s="114"/>
      <c r="D64" s="114"/>
      <c r="E64" s="114"/>
      <c r="F64" s="113">
        <f>SUM(F55:F63)</f>
        <v>1214000</v>
      </c>
      <c r="G64" s="115"/>
      <c r="H64" s="26">
        <f aca="true" t="shared" si="6" ref="H64:T64">SUM(H55:H63)</f>
        <v>46000</v>
      </c>
      <c r="I64" s="26">
        <f t="shared" si="6"/>
        <v>98922</v>
      </c>
      <c r="J64" s="26">
        <f t="shared" si="6"/>
        <v>106662</v>
      </c>
      <c r="K64" s="26">
        <f t="shared" si="6"/>
        <v>184294</v>
      </c>
      <c r="L64" s="26">
        <f t="shared" si="6"/>
        <v>77416</v>
      </c>
      <c r="M64" s="26">
        <f t="shared" si="6"/>
        <v>80208</v>
      </c>
      <c r="N64" s="26">
        <f t="shared" si="6"/>
        <v>151802</v>
      </c>
      <c r="O64" s="26">
        <f t="shared" si="6"/>
        <v>174255</v>
      </c>
      <c r="P64" s="26">
        <f t="shared" si="6"/>
        <v>95218</v>
      </c>
      <c r="Q64" s="26">
        <f t="shared" si="6"/>
        <v>98025</v>
      </c>
      <c r="R64" s="26">
        <f t="shared" si="6"/>
        <v>35208</v>
      </c>
      <c r="S64" s="26">
        <f t="shared" si="6"/>
        <v>141599</v>
      </c>
      <c r="T64" s="26">
        <f t="shared" si="6"/>
        <v>1289609</v>
      </c>
      <c r="U64" s="29">
        <f>SUM(U32:U58)</f>
        <v>0</v>
      </c>
      <c r="V64" s="44">
        <f t="shared" si="1"/>
        <v>-75609</v>
      </c>
    </row>
    <row r="65" spans="1:22" ht="12.75" hidden="1">
      <c r="A65" s="15"/>
      <c r="B65" s="15"/>
      <c r="C65" s="15"/>
      <c r="D65" s="15"/>
      <c r="E65" s="15"/>
      <c r="F65" s="16"/>
      <c r="G65" s="16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31">
        <f t="shared" si="3"/>
        <v>0</v>
      </c>
      <c r="V65" s="44">
        <f t="shared" si="1"/>
        <v>0</v>
      </c>
    </row>
    <row r="66" spans="1:22" ht="12.75" hidden="1">
      <c r="A66" s="15"/>
      <c r="B66" s="15"/>
      <c r="C66" s="15"/>
      <c r="D66" s="15"/>
      <c r="E66" s="15"/>
      <c r="F66" s="16"/>
      <c r="G66" s="16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31">
        <f t="shared" si="3"/>
        <v>0</v>
      </c>
      <c r="V66" s="44">
        <f t="shared" si="1"/>
        <v>0</v>
      </c>
    </row>
    <row r="67" spans="1:22" ht="12.75">
      <c r="A67" s="15"/>
      <c r="B67" s="15"/>
      <c r="C67" s="15"/>
      <c r="D67" s="15"/>
      <c r="E67" s="15"/>
      <c r="F67" s="16"/>
      <c r="G67" s="16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31" t="s">
        <v>89</v>
      </c>
      <c r="V67" s="15"/>
    </row>
    <row r="68" spans="1:22" ht="12.75">
      <c r="A68" s="15"/>
      <c r="B68" s="16" t="s">
        <v>128</v>
      </c>
      <c r="C68" s="15"/>
      <c r="D68" s="15"/>
      <c r="E68" s="15"/>
      <c r="F68" s="133">
        <f>F53+F64</f>
        <v>3585803</v>
      </c>
      <c r="G68" s="141"/>
      <c r="H68" s="15">
        <f aca="true" t="shared" si="7" ref="H68:T68">H53+H64</f>
        <v>138803.69</v>
      </c>
      <c r="I68" s="15">
        <f t="shared" si="7"/>
        <v>288984.19999999995</v>
      </c>
      <c r="J68" s="15">
        <f t="shared" si="7"/>
        <v>211121.55</v>
      </c>
      <c r="K68" s="15">
        <f t="shared" si="7"/>
        <v>416514.41000000003</v>
      </c>
      <c r="L68" s="15">
        <f t="shared" si="7"/>
        <v>271309.89</v>
      </c>
      <c r="M68" s="15">
        <f t="shared" si="7"/>
        <v>208402.13</v>
      </c>
      <c r="N68" s="15">
        <f t="shared" si="7"/>
        <v>362403.52</v>
      </c>
      <c r="O68" s="44">
        <f t="shared" si="7"/>
        <v>306134.68</v>
      </c>
      <c r="P68" s="44">
        <f t="shared" si="7"/>
        <v>302931.95</v>
      </c>
      <c r="Q68" s="44">
        <f t="shared" si="7"/>
        <v>255722.72</v>
      </c>
      <c r="R68" s="44">
        <f t="shared" si="7"/>
        <v>240387.44</v>
      </c>
      <c r="S68" s="44">
        <f>S53+S64</f>
        <v>478913.76</v>
      </c>
      <c r="T68" s="31">
        <f t="shared" si="7"/>
        <v>3481629.94</v>
      </c>
      <c r="V68" s="15"/>
    </row>
    <row r="69" spans="1:20" ht="12.75">
      <c r="A69" s="15"/>
      <c r="B69" s="15"/>
      <c r="C69" s="15"/>
      <c r="D69" s="15"/>
      <c r="E69" s="15"/>
      <c r="F69" s="16"/>
      <c r="G69" s="16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31" t="s">
        <v>89</v>
      </c>
    </row>
    <row r="70" spans="1:20" ht="12.75">
      <c r="A70" s="15"/>
      <c r="B70" s="15"/>
      <c r="C70" s="15"/>
      <c r="D70" s="15"/>
      <c r="E70" s="15"/>
      <c r="F70" s="16"/>
      <c r="G70" s="16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31" t="s">
        <v>89</v>
      </c>
    </row>
    <row r="71" spans="1:20" ht="12.75">
      <c r="A71" s="15"/>
      <c r="B71" s="15" t="s">
        <v>62</v>
      </c>
      <c r="C71" s="15"/>
      <c r="D71" s="15"/>
      <c r="E71" s="15"/>
      <c r="F71" s="139" t="s">
        <v>57</v>
      </c>
      <c r="G71" s="140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31" t="s">
        <v>89</v>
      </c>
    </row>
    <row r="72" spans="1:20" ht="12.75">
      <c r="A72" s="15"/>
      <c r="B72" s="15"/>
      <c r="C72" s="15"/>
      <c r="D72" s="15"/>
      <c r="E72" s="15"/>
      <c r="F72" s="139" t="s">
        <v>63</v>
      </c>
      <c r="G72" s="140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31" t="s">
        <v>89</v>
      </c>
    </row>
    <row r="73" spans="1:21" s="10" customFormat="1" ht="12.75">
      <c r="A73" s="28"/>
      <c r="B73" s="28"/>
      <c r="C73" s="28"/>
      <c r="D73" s="28"/>
      <c r="E73" s="28"/>
      <c r="F73" s="28"/>
      <c r="G73" s="28"/>
      <c r="H73" s="28">
        <f aca="true" t="shared" si="8" ref="H73:S73">H24-H64</f>
        <v>211316.81</v>
      </c>
      <c r="I73" s="28">
        <f t="shared" si="8"/>
        <v>141147.59000000003</v>
      </c>
      <c r="J73" s="28">
        <f t="shared" si="8"/>
        <v>130034.41999999998</v>
      </c>
      <c r="K73" s="28">
        <f t="shared" si="8"/>
        <v>46154.56</v>
      </c>
      <c r="L73" s="28">
        <f t="shared" si="8"/>
        <v>134901.06999999998</v>
      </c>
      <c r="M73" s="28">
        <f t="shared" si="8"/>
        <v>158453.09</v>
      </c>
      <c r="N73" s="28">
        <f t="shared" si="8"/>
        <v>171654.43</v>
      </c>
      <c r="O73" s="28">
        <f t="shared" si="8"/>
        <v>62454.389999999985</v>
      </c>
      <c r="P73" s="28">
        <f t="shared" si="8"/>
        <v>181834.13</v>
      </c>
      <c r="Q73" s="28">
        <f t="shared" si="8"/>
        <v>235492.60000000003</v>
      </c>
      <c r="R73" s="28">
        <f t="shared" si="8"/>
        <v>204141.73</v>
      </c>
      <c r="S73" s="28">
        <f t="shared" si="8"/>
        <v>194983.03999999998</v>
      </c>
      <c r="T73" s="31" t="s">
        <v>89</v>
      </c>
      <c r="U73" s="12"/>
    </row>
    <row r="74" spans="2:20" ht="12.75">
      <c r="B74" t="s">
        <v>58</v>
      </c>
      <c r="E74" t="s">
        <v>59</v>
      </c>
      <c r="F74" s="8" t="s">
        <v>60</v>
      </c>
      <c r="T74" s="31" t="s">
        <v>89</v>
      </c>
    </row>
    <row r="75" ht="12.75">
      <c r="T75" s="31" t="s">
        <v>89</v>
      </c>
    </row>
    <row r="76" spans="2:20" ht="12.75" hidden="1">
      <c r="B76" t="s">
        <v>85</v>
      </c>
      <c r="L76" t="s">
        <v>89</v>
      </c>
      <c r="T76" s="31" t="e">
        <f t="shared" si="3"/>
        <v>#VALUE!</v>
      </c>
    </row>
    <row r="77" spans="2:20" ht="12.75" hidden="1">
      <c r="B77" t="s">
        <v>94</v>
      </c>
      <c r="J77">
        <v>13500</v>
      </c>
      <c r="L77">
        <v>4500</v>
      </c>
      <c r="N77">
        <v>4500</v>
      </c>
      <c r="O77">
        <v>9800</v>
      </c>
      <c r="P77">
        <v>5300</v>
      </c>
      <c r="Q77">
        <v>5300</v>
      </c>
      <c r="R77">
        <v>5300</v>
      </c>
      <c r="S77">
        <f>5300</f>
        <v>5300</v>
      </c>
      <c r="T77" s="31">
        <f t="shared" si="3"/>
        <v>53500</v>
      </c>
    </row>
    <row r="78" spans="2:20" ht="12.75" hidden="1">
      <c r="B78" t="s">
        <v>132</v>
      </c>
      <c r="I78">
        <v>50000</v>
      </c>
      <c r="T78" s="31">
        <f t="shared" si="3"/>
        <v>50000</v>
      </c>
    </row>
    <row r="79" spans="2:20" ht="12.75" hidden="1">
      <c r="B79" t="s">
        <v>75</v>
      </c>
      <c r="H79" s="3"/>
      <c r="I79" s="3"/>
      <c r="L79" s="3"/>
      <c r="M79">
        <v>800</v>
      </c>
      <c r="N79" s="3"/>
      <c r="Q79" s="3"/>
      <c r="T79" s="31">
        <f t="shared" si="3"/>
        <v>800</v>
      </c>
    </row>
    <row r="80" spans="2:20" ht="12.75" hidden="1">
      <c r="B80" t="s">
        <v>77</v>
      </c>
      <c r="H80" s="22">
        <v>40858.54</v>
      </c>
      <c r="I80" s="22">
        <v>70107.42</v>
      </c>
      <c r="J80" s="22">
        <v>50449.07</v>
      </c>
      <c r="K80" s="22">
        <v>61742.65</v>
      </c>
      <c r="L80" s="22">
        <v>66947.32</v>
      </c>
      <c r="M80" s="22">
        <v>66235.32</v>
      </c>
      <c r="N80" s="22">
        <v>64238.57</v>
      </c>
      <c r="O80" s="22">
        <v>68393.43</v>
      </c>
      <c r="P80" s="22">
        <v>64495.9</v>
      </c>
      <c r="Q80" s="22">
        <v>64655.49</v>
      </c>
      <c r="R80" s="22">
        <v>58445.34</v>
      </c>
      <c r="S80" s="22">
        <v>64696.05</v>
      </c>
      <c r="T80" s="49">
        <f t="shared" si="3"/>
        <v>741265.1</v>
      </c>
    </row>
    <row r="81" spans="2:20" ht="12.75" hidden="1">
      <c r="B81" t="s">
        <v>78</v>
      </c>
      <c r="H81" s="22">
        <v>293140.33</v>
      </c>
      <c r="I81" s="22">
        <v>311780.78</v>
      </c>
      <c r="J81" s="22">
        <v>433530.69</v>
      </c>
      <c r="K81" s="22">
        <v>335557.98</v>
      </c>
      <c r="L81" s="34">
        <v>232656.95</v>
      </c>
      <c r="M81" s="22">
        <v>93060.18</v>
      </c>
      <c r="N81" s="22">
        <v>79241.83</v>
      </c>
      <c r="O81" s="22">
        <v>41983.54</v>
      </c>
      <c r="P81" s="22">
        <v>80911.87</v>
      </c>
      <c r="Q81" s="22">
        <v>96062.15</v>
      </c>
      <c r="R81" s="34">
        <v>231593.03</v>
      </c>
      <c r="S81" s="34">
        <v>339760.92</v>
      </c>
      <c r="T81" s="49">
        <f t="shared" si="3"/>
        <v>2569280.2499999995</v>
      </c>
    </row>
    <row r="82" spans="2:20" ht="12.75" hidden="1">
      <c r="B82" t="s">
        <v>79</v>
      </c>
      <c r="H82" s="15">
        <v>8949.6</v>
      </c>
      <c r="I82" s="22">
        <v>9527.1</v>
      </c>
      <c r="J82" s="22">
        <v>9082.92</v>
      </c>
      <c r="K82" s="22">
        <v>9527.1</v>
      </c>
      <c r="L82" s="22">
        <v>9315.24</v>
      </c>
      <c r="M82" s="22">
        <v>9183.9</v>
      </c>
      <c r="N82" s="22">
        <v>9140.34</v>
      </c>
      <c r="O82" s="22">
        <v>10676.09</v>
      </c>
      <c r="P82" s="22">
        <f>10330.37</f>
        <v>10330.37</v>
      </c>
      <c r="Q82" s="22">
        <v>10429.8</v>
      </c>
      <c r="R82" s="22">
        <v>10153.9</v>
      </c>
      <c r="S82" s="22">
        <v>10233.98</v>
      </c>
      <c r="T82" s="49">
        <f t="shared" si="3"/>
        <v>116550.33999999998</v>
      </c>
    </row>
    <row r="83" spans="2:20" ht="12.75" hidden="1">
      <c r="B83" t="s">
        <v>80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22"/>
      <c r="S83" s="15"/>
      <c r="T83" s="49">
        <f t="shared" si="3"/>
        <v>0</v>
      </c>
    </row>
    <row r="84" spans="2:20" ht="12.75" hidden="1">
      <c r="B84" t="s">
        <v>81</v>
      </c>
      <c r="H84" s="22"/>
      <c r="I84" s="15"/>
      <c r="J84" s="22"/>
      <c r="K84" s="15">
        <v>13800</v>
      </c>
      <c r="L84" s="15"/>
      <c r="M84" s="15"/>
      <c r="N84" s="22">
        <v>13800</v>
      </c>
      <c r="O84" s="15"/>
      <c r="P84" s="15"/>
      <c r="Q84" s="22">
        <v>13800</v>
      </c>
      <c r="R84" s="15"/>
      <c r="S84" s="22">
        <v>13800</v>
      </c>
      <c r="T84" s="49">
        <f t="shared" si="3"/>
        <v>55200</v>
      </c>
    </row>
    <row r="85" spans="2:20" ht="12.75" hidden="1">
      <c r="B85" t="s">
        <v>131</v>
      </c>
      <c r="H85" s="15"/>
      <c r="I85" s="15">
        <v>3300</v>
      </c>
      <c r="J85" s="15"/>
      <c r="K85" s="22"/>
      <c r="L85" s="15"/>
      <c r="M85" s="15"/>
      <c r="N85" s="15"/>
      <c r="O85" s="15"/>
      <c r="P85" s="15"/>
      <c r="Q85" s="15"/>
      <c r="R85" s="15"/>
      <c r="S85" s="15"/>
      <c r="T85" s="49">
        <f t="shared" si="3"/>
        <v>3300</v>
      </c>
    </row>
    <row r="86" spans="2:20" ht="12.75" hidden="1">
      <c r="B86" t="s">
        <v>84</v>
      </c>
      <c r="H86" s="15"/>
      <c r="I86" s="15"/>
      <c r="J86" s="15"/>
      <c r="K86" s="15"/>
      <c r="L86" s="15"/>
      <c r="M86" s="22"/>
      <c r="N86" s="15"/>
      <c r="O86" s="15"/>
      <c r="P86" s="15"/>
      <c r="Q86" s="15"/>
      <c r="R86" s="15"/>
      <c r="S86" s="15"/>
      <c r="T86" s="49">
        <f t="shared" si="3"/>
        <v>0</v>
      </c>
    </row>
    <row r="87" spans="2:20" ht="12.75" hidden="1">
      <c r="B87" t="s">
        <v>100</v>
      </c>
      <c r="H87" s="26"/>
      <c r="I87" s="26"/>
      <c r="J87" s="26"/>
      <c r="K87" s="26"/>
      <c r="L87" s="15"/>
      <c r="M87" s="15"/>
      <c r="N87" s="15"/>
      <c r="O87" s="15"/>
      <c r="P87" s="15"/>
      <c r="Q87" s="15"/>
      <c r="R87" s="22"/>
      <c r="S87" s="22"/>
      <c r="T87" s="11">
        <f>H87+I87+J87+K87+L87+M87+N87+O87+P87+Q87+R87+S87</f>
        <v>0</v>
      </c>
    </row>
    <row r="88" spans="2:20" ht="12.75" hidden="1">
      <c r="B88" t="s">
        <v>82</v>
      </c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1">
        <f>H88+I88+J88+K88+L88+M88+N88+O88+P88+Q88+R88+S88</f>
        <v>0</v>
      </c>
    </row>
    <row r="89" spans="8:20" ht="12.75" hidden="1">
      <c r="H89" s="50">
        <f>H79+H80+H81+H68+H82</f>
        <v>481752.16</v>
      </c>
      <c r="I89" s="51">
        <f>I68+I80+I81+I82+I79+I78+I85</f>
        <v>733699.4999999999</v>
      </c>
      <c r="J89" s="50">
        <f>J68+J80+J81+J82+J84+J77</f>
        <v>717684.2300000001</v>
      </c>
      <c r="K89" s="51">
        <f>K68+K80+K81+K82+K85+K84</f>
        <v>837142.14</v>
      </c>
      <c r="L89" s="51">
        <f>L68+L79+L80+L81+L82+L77</f>
        <v>584729.4</v>
      </c>
      <c r="M89" s="51">
        <f>M68+M80+M81+M82+M86+M79</f>
        <v>377681.53</v>
      </c>
      <c r="N89" s="51">
        <f>N68+N80+N81+N82+N86+N79+N84+N77</f>
        <v>533324.26</v>
      </c>
      <c r="O89" s="51">
        <f>O68+O80+O81+O82+O77</f>
        <v>436987.74</v>
      </c>
      <c r="P89" s="51">
        <f>P68+P80+P81+P82+P77</f>
        <v>463970.09</v>
      </c>
      <c r="Q89" s="51">
        <f>Q68+Q79+Q80+Q81+Q82+Q84+Q77</f>
        <v>445970.16</v>
      </c>
      <c r="R89" s="51">
        <f>R68+R80+R81+R82+R83+R87+R77</f>
        <v>545879.7100000001</v>
      </c>
      <c r="S89" s="51">
        <f>SUM(S77:S88)+S68</f>
        <v>912704.71</v>
      </c>
      <c r="T89" s="35">
        <f>T68+T79+T80+T81+T82+T83+T84+T85+T86</f>
        <v>6968025.629999999</v>
      </c>
    </row>
    <row r="90" spans="2:19" ht="12.75" hidden="1">
      <c r="B90" s="14" t="s">
        <v>91</v>
      </c>
      <c r="H90" s="15">
        <f>114985.12+56996.34</f>
        <v>171981.46</v>
      </c>
      <c r="I90" s="15">
        <f>147996.53+85847.31</f>
        <v>233843.84</v>
      </c>
      <c r="J90" s="15">
        <f>188326.12+150284.03</f>
        <v>338610.15</v>
      </c>
      <c r="K90" s="15">
        <f>140378.44+85589.13</f>
        <v>225967.57</v>
      </c>
      <c r="L90" s="15">
        <f>145923.33+94415.9</f>
        <v>240339.22999999998</v>
      </c>
      <c r="M90" s="15">
        <f>155616.25+103708.34</f>
        <v>259324.59</v>
      </c>
      <c r="N90" s="15">
        <f>143863.03+87394.87</f>
        <v>231257.9</v>
      </c>
      <c r="O90" s="15">
        <f>169217.54+91454.6+5599.34</f>
        <v>266271.48000000004</v>
      </c>
      <c r="P90" s="15">
        <f>164498.67+91823.46+358.95</f>
        <v>256681.08000000002</v>
      </c>
      <c r="Q90" s="15"/>
      <c r="R90" s="15"/>
      <c r="S90" s="15"/>
    </row>
    <row r="91" spans="2:19" ht="12.75" hidden="1">
      <c r="B91" s="14" t="s">
        <v>92</v>
      </c>
      <c r="H91" s="15">
        <f>23935.84+14795.63</f>
        <v>38731.47</v>
      </c>
      <c r="I91" s="15">
        <f>34884.83+22227.83</f>
        <v>57112.66</v>
      </c>
      <c r="J91" s="15">
        <f>58322.53+38254.18</f>
        <v>96576.70999999999</v>
      </c>
      <c r="K91" s="15">
        <f>35495.69+21939.11</f>
        <v>57434.8</v>
      </c>
      <c r="L91" s="15">
        <f>45788.24+24219.69</f>
        <v>70007.93</v>
      </c>
      <c r="M91" s="15">
        <f>44979.67+26698.9</f>
        <v>71678.57</v>
      </c>
      <c r="N91" s="15">
        <f>35829.15+22581.34+0.69+0.73</f>
        <v>58411.91000000001</v>
      </c>
      <c r="O91" s="15">
        <f>38454.7+23553.85+317.05+792.66+1960.18</f>
        <v>65078.44</v>
      </c>
      <c r="P91" s="15">
        <f>39001.69+23962.56+112.66+47.5+218.98</f>
        <v>63343.39000000001</v>
      </c>
      <c r="Q91" s="15"/>
      <c r="R91" s="15"/>
      <c r="S91" s="15"/>
    </row>
    <row r="92" spans="2:19" ht="12.75" hidden="1">
      <c r="B92" t="s">
        <v>93</v>
      </c>
      <c r="H92" s="15">
        <f>4968.67+2334.42</f>
        <v>7303.09</v>
      </c>
      <c r="I92" s="15">
        <f>7524.62+569.65</f>
        <v>8094.2699999999995</v>
      </c>
      <c r="J92" s="15">
        <f>11967.55+214.64</f>
        <v>12182.189999999999</v>
      </c>
      <c r="K92" s="15">
        <f>7222.21+449.5</f>
        <v>7671.71</v>
      </c>
      <c r="L92" s="15">
        <f>8007.25+623.7</f>
        <v>8630.95</v>
      </c>
      <c r="M92" s="15">
        <f>8902.75+178.2</f>
        <v>9080.95</v>
      </c>
      <c r="N92" s="15">
        <f>6407.31+2180.33</f>
        <v>8587.64</v>
      </c>
      <c r="O92" s="15">
        <f>8749.98+1085.54</f>
        <v>9835.52</v>
      </c>
      <c r="P92" s="15">
        <f>6428.63+3206.23</f>
        <v>9634.86</v>
      </c>
      <c r="Q92" s="15"/>
      <c r="R92" s="15"/>
      <c r="S92" s="15"/>
    </row>
    <row r="93" spans="2:19" ht="12.75" hidden="1">
      <c r="B93" t="s">
        <v>94</v>
      </c>
      <c r="H93" s="15">
        <v>2918.32</v>
      </c>
      <c r="I93" s="15">
        <v>4077.45</v>
      </c>
      <c r="J93" s="15">
        <v>5608.29</v>
      </c>
      <c r="K93" s="15">
        <v>3823.23</v>
      </c>
      <c r="L93" s="15">
        <v>4117.83</v>
      </c>
      <c r="M93" s="15">
        <v>4564.5</v>
      </c>
      <c r="N93" s="15">
        <v>4284.26</v>
      </c>
      <c r="O93" s="15">
        <v>4654.11</v>
      </c>
      <c r="P93" s="15">
        <v>4444.75</v>
      </c>
      <c r="Q93" s="15"/>
      <c r="R93" s="15"/>
      <c r="S93" s="15"/>
    </row>
    <row r="94" spans="2:19" ht="12.75" hidden="1">
      <c r="B94" t="s">
        <v>95</v>
      </c>
      <c r="H94" s="15">
        <v>225.7</v>
      </c>
      <c r="I94" s="15">
        <v>478.81</v>
      </c>
      <c r="J94" s="15">
        <v>866.33</v>
      </c>
      <c r="K94" s="15">
        <v>719.81</v>
      </c>
      <c r="L94" s="15">
        <v>749.8</v>
      </c>
      <c r="M94" s="15">
        <v>795.55</v>
      </c>
      <c r="N94" s="15">
        <v>775.09</v>
      </c>
      <c r="O94" s="15">
        <v>885.25</v>
      </c>
      <c r="P94" s="15">
        <v>854.24</v>
      </c>
      <c r="Q94" s="15"/>
      <c r="R94" s="15"/>
      <c r="S94" s="15"/>
    </row>
    <row r="95" spans="2:19" ht="12.75" hidden="1">
      <c r="B95" t="s">
        <v>81</v>
      </c>
      <c r="H95" s="15"/>
      <c r="I95" s="15">
        <v>-63.06</v>
      </c>
      <c r="J95" s="15">
        <v>160</v>
      </c>
      <c r="K95" s="15">
        <v>140</v>
      </c>
      <c r="L95" s="15">
        <v>20</v>
      </c>
      <c r="M95" s="15">
        <v>98.89</v>
      </c>
      <c r="N95" s="15">
        <v>80</v>
      </c>
      <c r="O95" s="15">
        <v>60</v>
      </c>
      <c r="P95" s="15">
        <v>31</v>
      </c>
      <c r="Q95" s="15"/>
      <c r="R95" s="15"/>
      <c r="S95" s="15"/>
    </row>
    <row r="96" spans="2:19" ht="12.75" hidden="1">
      <c r="B96" t="s">
        <v>96</v>
      </c>
      <c r="H96" s="15">
        <v>1474.48</v>
      </c>
      <c r="I96" s="15">
        <v>2061.58</v>
      </c>
      <c r="J96" s="15">
        <v>3091.7</v>
      </c>
      <c r="K96" s="15">
        <v>1964.91</v>
      </c>
      <c r="L96" s="15">
        <v>2139.95</v>
      </c>
      <c r="M96" s="15">
        <v>2528.4</v>
      </c>
      <c r="N96" s="15">
        <v>1976.47</v>
      </c>
      <c r="O96" s="15">
        <v>2399.13</v>
      </c>
      <c r="P96" s="15">
        <v>1990.42</v>
      </c>
      <c r="Q96" s="15"/>
      <c r="R96" s="15"/>
      <c r="S96" s="15"/>
    </row>
    <row r="97" spans="2:19" ht="12.75" hidden="1">
      <c r="B97" t="s">
        <v>97</v>
      </c>
      <c r="H97" s="15">
        <v>70.77</v>
      </c>
      <c r="I97" s="15">
        <v>11.38</v>
      </c>
      <c r="J97" s="15">
        <v>-53.35</v>
      </c>
      <c r="K97" s="15">
        <v>-14.67</v>
      </c>
      <c r="L97" s="15">
        <v>-23.24</v>
      </c>
      <c r="M97" s="15">
        <v>33.18</v>
      </c>
      <c r="N97" s="15">
        <v>-6.68</v>
      </c>
      <c r="O97" s="15">
        <v>2.53</v>
      </c>
      <c r="P97" s="15"/>
      <c r="Q97" s="15"/>
      <c r="R97" s="15"/>
      <c r="S97" s="15"/>
    </row>
    <row r="98" spans="2:19" ht="12.75" hidden="1">
      <c r="B98" t="s">
        <v>98</v>
      </c>
      <c r="H98" s="15">
        <v>31808.97</v>
      </c>
      <c r="I98" s="15">
        <v>17629.48</v>
      </c>
      <c r="J98" s="44">
        <v>-20147.75</v>
      </c>
      <c r="K98" s="15">
        <v>-678.46</v>
      </c>
      <c r="L98" s="15">
        <v>-6682.79</v>
      </c>
      <c r="M98" s="15">
        <v>10791.77</v>
      </c>
      <c r="N98" s="15">
        <v>-1300.78</v>
      </c>
      <c r="O98" s="15">
        <v>-1805.91</v>
      </c>
      <c r="P98" s="15">
        <v>-9527.06</v>
      </c>
      <c r="Q98" s="15"/>
      <c r="R98" s="15"/>
      <c r="S98" s="15"/>
    </row>
    <row r="99" spans="2:19" ht="12.75" hidden="1">
      <c r="B99" t="s">
        <v>99</v>
      </c>
      <c r="H99" s="15">
        <v>-2554.81</v>
      </c>
      <c r="I99" s="15">
        <v>660.13</v>
      </c>
      <c r="J99" s="15">
        <v>3067.43</v>
      </c>
      <c r="K99" s="15">
        <v>-306.46</v>
      </c>
      <c r="L99" s="15">
        <v>-680.8</v>
      </c>
      <c r="M99" s="15">
        <v>-471.43</v>
      </c>
      <c r="N99" s="15">
        <v>-1077.1</v>
      </c>
      <c r="O99" s="15">
        <v>90.78</v>
      </c>
      <c r="P99" s="15">
        <v>-537.98</v>
      </c>
      <c r="Q99" s="15"/>
      <c r="R99" s="15"/>
      <c r="S99" s="15"/>
    </row>
    <row r="100" spans="8:19" ht="12.75"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8:19" ht="12.75"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8:19" ht="12.75"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8:19" ht="12.75"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8:19" ht="12.75"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</row>
  </sheetData>
  <sheetProtection/>
  <mergeCells count="75">
    <mergeCell ref="B18:E18"/>
    <mergeCell ref="F18:G18"/>
    <mergeCell ref="B19:E19"/>
    <mergeCell ref="F19:G19"/>
    <mergeCell ref="A12:J12"/>
    <mergeCell ref="A13:K13"/>
    <mergeCell ref="A15:C15"/>
    <mergeCell ref="B17:E17"/>
    <mergeCell ref="F17:G17"/>
    <mergeCell ref="F23:G23"/>
    <mergeCell ref="B24:E24"/>
    <mergeCell ref="F24:G24"/>
    <mergeCell ref="A26:C26"/>
    <mergeCell ref="B21:E21"/>
    <mergeCell ref="F21:G21"/>
    <mergeCell ref="B22:E22"/>
    <mergeCell ref="F22:G22"/>
    <mergeCell ref="B35:E35"/>
    <mergeCell ref="F35:G35"/>
    <mergeCell ref="B36:E36"/>
    <mergeCell ref="F36:G36"/>
    <mergeCell ref="B32:E32"/>
    <mergeCell ref="F32:G32"/>
    <mergeCell ref="F33:G33"/>
    <mergeCell ref="B34:E34"/>
    <mergeCell ref="F34:G34"/>
    <mergeCell ref="B39:E39"/>
    <mergeCell ref="F39:G39"/>
    <mergeCell ref="B40:E40"/>
    <mergeCell ref="F40:G40"/>
    <mergeCell ref="B37:E37"/>
    <mergeCell ref="F37:G37"/>
    <mergeCell ref="B38:E38"/>
    <mergeCell ref="F38:G38"/>
    <mergeCell ref="B43:E43"/>
    <mergeCell ref="F43:G43"/>
    <mergeCell ref="B44:E44"/>
    <mergeCell ref="F44:G44"/>
    <mergeCell ref="B41:E41"/>
    <mergeCell ref="F41:G41"/>
    <mergeCell ref="B42:E42"/>
    <mergeCell ref="F42:G42"/>
    <mergeCell ref="F47:G47"/>
    <mergeCell ref="B48:E48"/>
    <mergeCell ref="F48:G48"/>
    <mergeCell ref="B45:E45"/>
    <mergeCell ref="F45:G45"/>
    <mergeCell ref="B46:E46"/>
    <mergeCell ref="F46:G46"/>
    <mergeCell ref="B64:E64"/>
    <mergeCell ref="F64:G64"/>
    <mergeCell ref="F71:G71"/>
    <mergeCell ref="F72:G72"/>
    <mergeCell ref="F68:G68"/>
    <mergeCell ref="F55:G55"/>
    <mergeCell ref="F56:G56"/>
    <mergeCell ref="F57:G57"/>
    <mergeCell ref="F58:G58"/>
    <mergeCell ref="F59:G59"/>
    <mergeCell ref="B62:E62"/>
    <mergeCell ref="B63:E63"/>
    <mergeCell ref="F62:G62"/>
    <mergeCell ref="F63:G63"/>
    <mergeCell ref="F60:G60"/>
    <mergeCell ref="F61:G61"/>
    <mergeCell ref="A3:V3"/>
    <mergeCell ref="A2:V2"/>
    <mergeCell ref="B53:E53"/>
    <mergeCell ref="F53:G53"/>
    <mergeCell ref="A9:V9"/>
    <mergeCell ref="B49:E49"/>
    <mergeCell ref="F49:G49"/>
    <mergeCell ref="F50:G50"/>
    <mergeCell ref="F51:G51"/>
    <mergeCell ref="B47:E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141"/>
  <sheetViews>
    <sheetView zoomScalePageLayoutView="0" workbookViewId="0" topLeftCell="A72">
      <selection activeCell="A125" sqref="A125:U135"/>
    </sheetView>
  </sheetViews>
  <sheetFormatPr defaultColWidth="9.00390625" defaultRowHeight="12.75"/>
  <cols>
    <col min="1" max="1" width="9.875" style="0" customWidth="1"/>
    <col min="2" max="2" width="7.25390625" style="0" customWidth="1"/>
    <col min="3" max="3" width="9.625" style="0" customWidth="1"/>
    <col min="4" max="4" width="10.50390625" style="0" customWidth="1"/>
    <col min="5" max="5" width="15.875" style="0" customWidth="1"/>
    <col min="6" max="6" width="9.50390625" style="8" bestFit="1" customWidth="1"/>
    <col min="7" max="7" width="5.25390625" style="8" customWidth="1"/>
    <col min="8" max="8" width="12.125" style="0" hidden="1" customWidth="1"/>
    <col min="9" max="9" width="10.50390625" style="0" hidden="1" customWidth="1"/>
    <col min="10" max="10" width="10.625" style="0" hidden="1" customWidth="1"/>
    <col min="11" max="11" width="10.00390625" style="0" hidden="1" customWidth="1"/>
    <col min="12" max="12" width="11.125" style="0" hidden="1" customWidth="1"/>
    <col min="13" max="14" width="10.50390625" style="0" hidden="1" customWidth="1"/>
    <col min="15" max="15" width="10.25390625" style="0" hidden="1" customWidth="1"/>
    <col min="16" max="16" width="10.50390625" style="0" hidden="1" customWidth="1"/>
    <col min="17" max="17" width="10.875" style="0" hidden="1" customWidth="1"/>
    <col min="18" max="19" width="11.25390625" style="0" hidden="1" customWidth="1"/>
    <col min="20" max="20" width="11.50390625" style="11" customWidth="1"/>
    <col min="21" max="21" width="10.625" style="13" customWidth="1"/>
    <col min="22" max="22" width="11.875" style="0" hidden="1" customWidth="1"/>
    <col min="23" max="23" width="0" style="0" hidden="1" customWidth="1"/>
    <col min="24" max="27" width="10.50390625" style="0" hidden="1" customWidth="1"/>
  </cols>
  <sheetData>
    <row r="1" ht="12.75" hidden="1"/>
    <row r="2" spans="1:23" ht="24">
      <c r="A2" s="159" t="s">
        <v>164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</row>
    <row r="3" spans="1:22" ht="24">
      <c r="A3" s="159" t="s">
        <v>165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ht="12.75">
      <c r="S4">
        <v>0</v>
      </c>
    </row>
    <row r="5" spans="1:6" ht="12.75">
      <c r="A5" t="s">
        <v>31</v>
      </c>
      <c r="F5" s="8" t="s">
        <v>32</v>
      </c>
    </row>
    <row r="6" spans="1:6" ht="12.75">
      <c r="A6" t="s">
        <v>158</v>
      </c>
      <c r="F6" s="8" t="s">
        <v>34</v>
      </c>
    </row>
    <row r="7" spans="1:6" ht="12.75">
      <c r="A7" t="s">
        <v>40</v>
      </c>
      <c r="F7" s="8" t="s">
        <v>35</v>
      </c>
    </row>
    <row r="8" ht="12.75">
      <c r="F8" s="8" t="s">
        <v>36</v>
      </c>
    </row>
    <row r="9" spans="1:24" ht="12.75">
      <c r="A9" s="135" t="s">
        <v>129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</row>
    <row r="10" ht="12.75">
      <c r="A10" s="6" t="s">
        <v>39</v>
      </c>
    </row>
    <row r="11" ht="12.75" hidden="1"/>
    <row r="12" spans="1:10" ht="21">
      <c r="A12" s="120" t="s">
        <v>0</v>
      </c>
      <c r="B12" s="120"/>
      <c r="C12" s="120"/>
      <c r="D12" s="120"/>
      <c r="E12" s="120"/>
      <c r="F12" s="120"/>
      <c r="G12" s="120"/>
      <c r="H12" s="120"/>
      <c r="I12" s="120"/>
      <c r="J12" s="120"/>
    </row>
    <row r="13" spans="1:11" ht="15">
      <c r="A13" s="121" t="s">
        <v>135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</row>
    <row r="14" ht="12.75">
      <c r="J14" s="3"/>
    </row>
    <row r="15" spans="1:20" ht="17.25">
      <c r="A15" s="119" t="s">
        <v>2</v>
      </c>
      <c r="B15" s="119"/>
      <c r="C15" s="119"/>
      <c r="D15" s="15"/>
      <c r="E15" s="15"/>
      <c r="F15" s="16"/>
      <c r="G15" s="16" t="s">
        <v>105</v>
      </c>
      <c r="H15" s="15" t="s">
        <v>65</v>
      </c>
      <c r="I15" s="15" t="s">
        <v>66</v>
      </c>
      <c r="J15" s="17" t="s">
        <v>67</v>
      </c>
      <c r="K15" s="15" t="s">
        <v>68</v>
      </c>
      <c r="L15" s="15" t="s">
        <v>69</v>
      </c>
      <c r="M15" s="15" t="s">
        <v>70</v>
      </c>
      <c r="N15" s="15" t="s">
        <v>72</v>
      </c>
      <c r="O15" s="15" t="s">
        <v>73</v>
      </c>
      <c r="P15" s="15" t="s">
        <v>74</v>
      </c>
      <c r="Q15" s="15" t="s">
        <v>86</v>
      </c>
      <c r="R15" s="15" t="s">
        <v>87</v>
      </c>
      <c r="S15" s="15" t="s">
        <v>88</v>
      </c>
      <c r="T15" s="18" t="s">
        <v>106</v>
      </c>
    </row>
    <row r="16" spans="1:27" ht="12.75">
      <c r="A16" s="15"/>
      <c r="B16" s="15"/>
      <c r="C16" s="15"/>
      <c r="D16" s="15"/>
      <c r="E16" s="15"/>
      <c r="F16" s="16"/>
      <c r="G16" s="16"/>
      <c r="H16" s="15"/>
      <c r="I16" s="15"/>
      <c r="J16" s="17"/>
      <c r="K16" s="15"/>
      <c r="L16" s="15"/>
      <c r="M16" s="15"/>
      <c r="N16" s="15"/>
      <c r="O16" s="15"/>
      <c r="P16" s="15"/>
      <c r="Q16" s="15"/>
      <c r="R16" s="15"/>
      <c r="S16" s="15"/>
      <c r="T16" s="18"/>
      <c r="X16" t="s">
        <v>166</v>
      </c>
      <c r="Y16" t="s">
        <v>167</v>
      </c>
      <c r="Z16" t="s">
        <v>168</v>
      </c>
      <c r="AA16" t="s">
        <v>9</v>
      </c>
    </row>
    <row r="17" spans="1:26" ht="12.75">
      <c r="A17" s="15">
        <v>1</v>
      </c>
      <c r="B17" s="118" t="s">
        <v>3</v>
      </c>
      <c r="C17" s="118"/>
      <c r="D17" s="118"/>
      <c r="E17" s="118"/>
      <c r="F17" s="113">
        <v>1359000</v>
      </c>
      <c r="G17" s="113"/>
      <c r="H17" s="15">
        <f>2500+59000+7500+20000+3300+5200+4800+10600</f>
        <v>112900</v>
      </c>
      <c r="I17" s="15">
        <f>2500+20000+5200+3300+10600+15000+59000</f>
        <v>115600</v>
      </c>
      <c r="J17" s="17">
        <f>2500+20000+5200+59000+3300+10600+59000</f>
        <v>159600</v>
      </c>
      <c r="K17" s="15">
        <f>2500+5200+3300+20000+10600+15000+59000+20000+5200</f>
        <v>140800</v>
      </c>
      <c r="L17" s="15">
        <f>2500+3300+10600+59000</f>
        <v>75400</v>
      </c>
      <c r="M17" s="15">
        <f>2500+5200+20000+10600+4800+65000+3300</f>
        <v>111400</v>
      </c>
      <c r="N17" s="15">
        <f>2500+3500+11600+5700+22000</f>
        <v>45300</v>
      </c>
      <c r="O17" s="44">
        <f>2500+65000+5700+22000+3600+11600</f>
        <v>110400</v>
      </c>
      <c r="P17" s="44">
        <f>2500+65000+5700+22000+3700+11600+18000</f>
        <v>128500</v>
      </c>
      <c r="Q17" s="44">
        <f>2500+65000+5700+11600+22000+12000+3600+65000</f>
        <v>187400</v>
      </c>
      <c r="R17" s="15">
        <f>2500+5700+22000+11600+12000+3600</f>
        <v>57400</v>
      </c>
      <c r="S17" s="15">
        <f>2500+65000+3600+5700+22000+11600+12000</f>
        <v>122400</v>
      </c>
      <c r="T17" s="31">
        <f>H17+I17+J17+K17+L17+M17+N17+O17+P17+Q17+R17+S17</f>
        <v>1367100</v>
      </c>
      <c r="U17" s="36"/>
      <c r="V17" s="44"/>
      <c r="X17" s="4">
        <f>T17+T21</f>
        <v>1371193.49</v>
      </c>
      <c r="Y17" s="4">
        <f>T18</f>
        <v>1954636.86</v>
      </c>
      <c r="Z17" s="4">
        <f>X17+Y17</f>
        <v>3325830.35</v>
      </c>
    </row>
    <row r="18" spans="1:27" ht="12.75">
      <c r="A18" s="15">
        <v>2</v>
      </c>
      <c r="B18" s="118" t="s">
        <v>4</v>
      </c>
      <c r="C18" s="118"/>
      <c r="D18" s="118"/>
      <c r="E18" s="118"/>
      <c r="F18" s="113">
        <v>2088280</v>
      </c>
      <c r="G18" s="113"/>
      <c r="H18" s="15"/>
      <c r="I18" s="15"/>
      <c r="J18" s="17"/>
      <c r="K18" s="15"/>
      <c r="L18" s="15"/>
      <c r="M18" s="15"/>
      <c r="N18" s="15"/>
      <c r="O18" s="15"/>
      <c r="P18" s="44"/>
      <c r="Q18" s="44"/>
      <c r="R18" s="15"/>
      <c r="S18" s="15">
        <v>1954636.86</v>
      </c>
      <c r="T18" s="31">
        <f aca="true" t="shared" si="0" ref="T18:T24">H18+I18+J18+K18+L18+M18+N18+O18+P18+Q18+R18+S18</f>
        <v>1954636.86</v>
      </c>
      <c r="U18" s="36"/>
      <c r="V18" s="44"/>
      <c r="AA18" s="4">
        <f>T32+T33+T34+T36+T38+T39+T47+T48+T50+T52</f>
        <v>1822965.55</v>
      </c>
    </row>
    <row r="19" spans="1:24" ht="12.75">
      <c r="A19" s="15">
        <v>3</v>
      </c>
      <c r="B19" s="118" t="s">
        <v>5</v>
      </c>
      <c r="C19" s="118"/>
      <c r="D19" s="118"/>
      <c r="E19" s="118"/>
      <c r="F19" s="113">
        <v>266000</v>
      </c>
      <c r="G19" s="113"/>
      <c r="H19" s="15"/>
      <c r="I19" s="15"/>
      <c r="J19" s="17"/>
      <c r="K19" s="15"/>
      <c r="L19" s="15"/>
      <c r="M19" s="15"/>
      <c r="N19" s="15"/>
      <c r="O19" s="15"/>
      <c r="P19" s="44"/>
      <c r="Q19" s="44"/>
      <c r="R19" s="15"/>
      <c r="S19" s="15">
        <v>225124.37</v>
      </c>
      <c r="T19" s="31">
        <f t="shared" si="0"/>
        <v>225124.37</v>
      </c>
      <c r="U19" s="36"/>
      <c r="V19" s="44"/>
      <c r="X19">
        <f>71002+59582+9985+31968+14880+20400+3500+18146</f>
        <v>229463</v>
      </c>
    </row>
    <row r="20" spans="1:22" ht="12.75" hidden="1">
      <c r="A20" s="15">
        <v>4</v>
      </c>
      <c r="B20" s="19" t="s">
        <v>43</v>
      </c>
      <c r="C20" s="19"/>
      <c r="D20" s="19"/>
      <c r="E20" s="19"/>
      <c r="F20" s="20"/>
      <c r="G20" s="20"/>
      <c r="H20" s="15"/>
      <c r="I20" s="15"/>
      <c r="J20" s="17"/>
      <c r="K20" s="15"/>
      <c r="L20" s="15"/>
      <c r="M20" s="15"/>
      <c r="N20" s="15"/>
      <c r="O20" s="15"/>
      <c r="P20" s="44"/>
      <c r="Q20" s="44"/>
      <c r="R20" s="15"/>
      <c r="S20" s="15"/>
      <c r="T20" s="31">
        <f t="shared" si="0"/>
        <v>0</v>
      </c>
      <c r="U20" s="36"/>
      <c r="V20" s="44"/>
    </row>
    <row r="21" spans="1:25" ht="12.75">
      <c r="A21" s="15">
        <v>4</v>
      </c>
      <c r="B21" s="112" t="s">
        <v>6</v>
      </c>
      <c r="C21" s="112"/>
      <c r="D21" s="112"/>
      <c r="E21" s="112"/>
      <c r="F21" s="113">
        <v>6000</v>
      </c>
      <c r="G21" s="113"/>
      <c r="H21" s="15">
        <v>685.28</v>
      </c>
      <c r="I21" s="15">
        <v>658.4</v>
      </c>
      <c r="J21" s="17">
        <v>496.26</v>
      </c>
      <c r="K21" s="15">
        <v>449.15</v>
      </c>
      <c r="L21" s="15"/>
      <c r="M21" s="15"/>
      <c r="N21" s="15"/>
      <c r="O21" s="44"/>
      <c r="P21" s="44"/>
      <c r="Q21" s="44">
        <v>498.33</v>
      </c>
      <c r="R21" s="15">
        <v>640.68</v>
      </c>
      <c r="S21" s="15">
        <v>665.39</v>
      </c>
      <c r="T21" s="31">
        <f t="shared" si="0"/>
        <v>4093.4899999999993</v>
      </c>
      <c r="U21" s="36"/>
      <c r="V21" s="44"/>
      <c r="X21">
        <f>AA18/Z17*X17</f>
        <v>751583.2834510844</v>
      </c>
      <c r="Y21">
        <f>AA18/Z17*Y17</f>
        <v>1071382.2665489155</v>
      </c>
    </row>
    <row r="22" spans="1:24" ht="12.75" hidden="1">
      <c r="A22" s="15">
        <v>5</v>
      </c>
      <c r="B22" s="112"/>
      <c r="C22" s="112"/>
      <c r="D22" s="112"/>
      <c r="E22" s="112"/>
      <c r="F22" s="113">
        <v>66015.65</v>
      </c>
      <c r="G22" s="113"/>
      <c r="H22" s="15"/>
      <c r="I22" s="15"/>
      <c r="J22" s="17"/>
      <c r="K22" s="15"/>
      <c r="L22" s="15"/>
      <c r="M22" s="15"/>
      <c r="N22" s="15"/>
      <c r="O22" s="15"/>
      <c r="P22" s="44"/>
      <c r="Q22" s="44"/>
      <c r="R22" s="15"/>
      <c r="S22" s="15"/>
      <c r="T22" s="31">
        <v>9508.62</v>
      </c>
      <c r="U22" s="36"/>
      <c r="V22" s="44"/>
      <c r="X22" s="43">
        <f>X17-X19-X21</f>
        <v>390147.2065489156</v>
      </c>
    </row>
    <row r="23" spans="1:24" ht="12.75" hidden="1">
      <c r="A23" s="15">
        <v>6</v>
      </c>
      <c r="B23" s="21" t="s">
        <v>136</v>
      </c>
      <c r="C23" s="21"/>
      <c r="D23" s="21"/>
      <c r="E23" s="21"/>
      <c r="F23" s="113">
        <v>1538937.39</v>
      </c>
      <c r="G23" s="113"/>
      <c r="H23" s="15"/>
      <c r="I23" s="15"/>
      <c r="J23" s="22"/>
      <c r="K23" s="15"/>
      <c r="L23" s="15"/>
      <c r="M23" s="15"/>
      <c r="N23" s="15"/>
      <c r="O23" s="15"/>
      <c r="P23" s="44"/>
      <c r="Q23" s="44"/>
      <c r="R23" s="15"/>
      <c r="S23" s="15"/>
      <c r="T23" s="31">
        <v>1645001.3</v>
      </c>
      <c r="U23" s="36"/>
      <c r="V23" s="44"/>
      <c r="X23">
        <f>X22*15/100</f>
        <v>58522.08098233734</v>
      </c>
    </row>
    <row r="24" spans="1:22" s="68" customFormat="1" ht="12.75">
      <c r="A24" s="62"/>
      <c r="B24" s="157" t="s">
        <v>8</v>
      </c>
      <c r="C24" s="157"/>
      <c r="D24" s="157"/>
      <c r="E24" s="157"/>
      <c r="F24" s="158">
        <f>SUM(F17:F21)</f>
        <v>3719280</v>
      </c>
      <c r="G24" s="158"/>
      <c r="H24" s="64">
        <f aca="true" t="shared" si="1" ref="H24:S24">SUM(H17:H23)</f>
        <v>113585.28</v>
      </c>
      <c r="I24" s="64">
        <f t="shared" si="1"/>
        <v>116258.4</v>
      </c>
      <c r="J24" s="64">
        <f t="shared" si="1"/>
        <v>160096.26</v>
      </c>
      <c r="K24" s="64">
        <f t="shared" si="1"/>
        <v>141249.15</v>
      </c>
      <c r="L24" s="64">
        <f t="shared" si="1"/>
        <v>75400</v>
      </c>
      <c r="M24" s="64">
        <f t="shared" si="1"/>
        <v>111400</v>
      </c>
      <c r="N24" s="64">
        <f t="shared" si="1"/>
        <v>45300</v>
      </c>
      <c r="O24" s="64">
        <f t="shared" si="1"/>
        <v>110400</v>
      </c>
      <c r="P24" s="64">
        <f t="shared" si="1"/>
        <v>128500</v>
      </c>
      <c r="Q24" s="64">
        <f t="shared" si="1"/>
        <v>187898.33</v>
      </c>
      <c r="R24" s="64">
        <f t="shared" si="1"/>
        <v>58040.68</v>
      </c>
      <c r="S24" s="64">
        <f t="shared" si="1"/>
        <v>2302826.62</v>
      </c>
      <c r="T24" s="65">
        <f t="shared" si="0"/>
        <v>3550954.7199999997</v>
      </c>
      <c r="U24" s="66"/>
      <c r="V24" s="67">
        <f>SUM(V17:V23)</f>
        <v>0</v>
      </c>
    </row>
    <row r="25" spans="1:22" ht="12.75" hidden="1">
      <c r="A25" s="15"/>
      <c r="B25" s="15" t="s">
        <v>134</v>
      </c>
      <c r="C25" s="15"/>
      <c r="D25" s="15"/>
      <c r="E25" s="15"/>
      <c r="F25" s="16"/>
      <c r="G25" s="16"/>
      <c r="H25" s="15"/>
      <c r="I25" s="15"/>
      <c r="J25" s="22"/>
      <c r="K25" s="15"/>
      <c r="L25" s="15"/>
      <c r="M25" s="15"/>
      <c r="N25" s="15"/>
      <c r="O25" s="44"/>
      <c r="P25" s="44"/>
      <c r="Q25" s="44"/>
      <c r="R25" s="15"/>
      <c r="S25" s="44"/>
      <c r="T25" s="18"/>
      <c r="U25" s="30"/>
      <c r="V25" s="44"/>
    </row>
    <row r="26" spans="1:22" ht="17.25">
      <c r="A26" s="119" t="s">
        <v>9</v>
      </c>
      <c r="B26" s="119"/>
      <c r="C26" s="119"/>
      <c r="D26" s="15"/>
      <c r="E26" s="15"/>
      <c r="F26" s="16"/>
      <c r="G26" s="16"/>
      <c r="H26" s="15" t="s">
        <v>65</v>
      </c>
      <c r="I26" s="15"/>
      <c r="J26" s="22"/>
      <c r="K26" s="15"/>
      <c r="L26" s="15"/>
      <c r="M26" s="15"/>
      <c r="N26" s="15"/>
      <c r="O26" s="15"/>
      <c r="P26" s="15"/>
      <c r="Q26" s="15"/>
      <c r="R26" s="15"/>
      <c r="S26" s="15"/>
      <c r="T26" s="18"/>
      <c r="U26" s="30"/>
      <c r="V26" s="44"/>
    </row>
    <row r="27" spans="1:22" ht="12.75">
      <c r="A27" s="15"/>
      <c r="B27" s="15"/>
      <c r="C27" s="15"/>
      <c r="D27" s="15"/>
      <c r="E27" s="15"/>
      <c r="F27" s="16"/>
      <c r="G27" s="16"/>
      <c r="H27" s="15"/>
      <c r="I27" s="15"/>
      <c r="J27" s="22"/>
      <c r="K27" s="15"/>
      <c r="L27" s="15"/>
      <c r="M27" s="15"/>
      <c r="N27" s="15"/>
      <c r="O27" s="15"/>
      <c r="P27" s="15"/>
      <c r="Q27" s="15"/>
      <c r="R27" s="15"/>
      <c r="S27" s="15"/>
      <c r="T27" s="18"/>
      <c r="U27" s="30"/>
      <c r="V27" s="44"/>
    </row>
    <row r="28" spans="1:22" ht="12.75">
      <c r="A28" s="47" t="s">
        <v>137</v>
      </c>
      <c r="B28" s="161" t="s">
        <v>138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62"/>
    </row>
    <row r="29" spans="1:22" ht="12.75" hidden="1">
      <c r="A29" s="15"/>
      <c r="B29" s="15"/>
      <c r="C29" s="15"/>
      <c r="D29" s="15"/>
      <c r="E29" s="15"/>
      <c r="F29" s="16"/>
      <c r="G29" s="16"/>
      <c r="H29" s="15"/>
      <c r="I29" s="15"/>
      <c r="J29" s="22"/>
      <c r="K29" s="15"/>
      <c r="L29" s="15"/>
      <c r="M29" s="15"/>
      <c r="N29" s="15"/>
      <c r="O29" s="15"/>
      <c r="P29" s="15"/>
      <c r="Q29" s="15"/>
      <c r="R29" s="15"/>
      <c r="S29" s="15"/>
      <c r="T29" s="18"/>
      <c r="U29" s="30"/>
      <c r="V29" s="44"/>
    </row>
    <row r="30" spans="1:22" ht="12.75" hidden="1">
      <c r="A30" s="15"/>
      <c r="B30" s="15"/>
      <c r="C30" s="15"/>
      <c r="D30" s="15"/>
      <c r="E30" s="15"/>
      <c r="F30" s="16"/>
      <c r="G30" s="16"/>
      <c r="H30" s="15"/>
      <c r="I30" s="15"/>
      <c r="J30" s="22"/>
      <c r="K30" s="15"/>
      <c r="L30" s="15"/>
      <c r="M30" s="15"/>
      <c r="N30" s="15"/>
      <c r="O30" s="15"/>
      <c r="P30" s="15"/>
      <c r="Q30" s="15"/>
      <c r="R30" s="15"/>
      <c r="S30" s="15"/>
      <c r="T30" s="18"/>
      <c r="U30" s="30"/>
      <c r="V30" s="44"/>
    </row>
    <row r="31" spans="1:22" ht="12.75">
      <c r="A31" s="16">
        <v>1</v>
      </c>
      <c r="B31" s="145" t="s">
        <v>139</v>
      </c>
      <c r="C31" s="163"/>
      <c r="D31" s="163"/>
      <c r="E31" s="141"/>
      <c r="F31" s="16"/>
      <c r="G31" s="16"/>
      <c r="H31" s="15"/>
      <c r="I31" s="15"/>
      <c r="J31" s="22"/>
      <c r="K31" s="15"/>
      <c r="L31" s="15"/>
      <c r="M31" s="15"/>
      <c r="N31" s="15"/>
      <c r="O31" s="15"/>
      <c r="P31" s="15"/>
      <c r="Q31" s="15"/>
      <c r="R31" s="15"/>
      <c r="S31" s="15"/>
      <c r="T31" s="18"/>
      <c r="U31" s="30"/>
      <c r="V31" s="44"/>
    </row>
    <row r="32" spans="1:22" ht="12.75">
      <c r="A32" s="48">
        <v>1.1</v>
      </c>
      <c r="B32" s="118" t="s">
        <v>140</v>
      </c>
      <c r="C32" s="118"/>
      <c r="D32" s="118"/>
      <c r="E32" s="118"/>
      <c r="F32" s="113">
        <v>526040</v>
      </c>
      <c r="G32" s="113"/>
      <c r="H32" s="22">
        <f>27374+20356</f>
        <v>47730</v>
      </c>
      <c r="I32" s="22">
        <f>13000+14374+20358</f>
        <v>47732</v>
      </c>
      <c r="J32" s="22">
        <f>3963.95+13500+13938+20291</f>
        <v>51692.95</v>
      </c>
      <c r="K32" s="34">
        <f>15000+12374</f>
        <v>27374</v>
      </c>
      <c r="L32" s="22">
        <f>13000+14373+20</f>
        <v>27393</v>
      </c>
      <c r="M32" s="22">
        <f>14000+13375</f>
        <v>27375</v>
      </c>
      <c r="N32" s="22">
        <f>13300+14886</f>
        <v>28186</v>
      </c>
      <c r="O32" s="22">
        <f>11300+15015.49</f>
        <v>26315.489999999998</v>
      </c>
      <c r="P32" s="22">
        <f>13300+18357</f>
        <v>31657</v>
      </c>
      <c r="Q32" s="22">
        <f>13300+14887</f>
        <v>28187</v>
      </c>
      <c r="R32" s="22">
        <f>12300+22106.8+65</f>
        <v>34471.8</v>
      </c>
      <c r="S32" s="22">
        <f>12300+13889</f>
        <v>26189</v>
      </c>
      <c r="T32" s="31">
        <f>H32+I32+J32+K32+L32+M32+N32+O32+P32+Q32+R32+S32+81000+19000</f>
        <v>504303.24</v>
      </c>
      <c r="U32" s="29"/>
      <c r="V32" s="44"/>
    </row>
    <row r="33" spans="1:22" ht="12.75">
      <c r="A33" s="15">
        <v>1.2</v>
      </c>
      <c r="B33" s="19" t="s">
        <v>141</v>
      </c>
      <c r="C33" s="19"/>
      <c r="D33" s="19"/>
      <c r="E33" s="19"/>
      <c r="F33" s="113">
        <v>212000</v>
      </c>
      <c r="G33" s="115"/>
      <c r="H33" s="15"/>
      <c r="I33" s="15"/>
      <c r="J33" s="17"/>
      <c r="K33" s="24">
        <f>11500+8858</f>
        <v>20358</v>
      </c>
      <c r="L33" s="15">
        <f>9500+13620</f>
        <v>23120</v>
      </c>
      <c r="M33" s="15">
        <f>9500+13620</f>
        <v>23120</v>
      </c>
      <c r="N33" s="15">
        <f>9500+11620</f>
        <v>21120</v>
      </c>
      <c r="O33" s="15">
        <f>11500+11620</f>
        <v>23120</v>
      </c>
      <c r="P33" s="15">
        <f>9500+12120</f>
        <v>21620</v>
      </c>
      <c r="Q33" s="15">
        <f>9500+11620</f>
        <v>21120</v>
      </c>
      <c r="R33" s="15">
        <f>11500+10403.4</f>
        <v>21903.4</v>
      </c>
      <c r="S33" s="15">
        <f>11500+11620</f>
        <v>23120</v>
      </c>
      <c r="T33" s="31">
        <f aca="true" t="shared" si="2" ref="T33:T60">H33+I33+J33+K33+L33+M33+N33+O33+P33+Q33+R33+S33</f>
        <v>198601.4</v>
      </c>
      <c r="U33" s="29"/>
      <c r="V33" s="44"/>
    </row>
    <row r="34" spans="1:22" ht="12.75">
      <c r="A34" s="15">
        <v>1.3</v>
      </c>
      <c r="B34" s="118" t="s">
        <v>142</v>
      </c>
      <c r="C34" s="118"/>
      <c r="D34" s="118"/>
      <c r="E34" s="118"/>
      <c r="F34" s="113">
        <v>230000</v>
      </c>
      <c r="G34" s="113"/>
      <c r="H34" s="22">
        <f>2556.91+4383.24+11821+166.43+1501.08+18504.42-16074.52</f>
        <v>22858.56</v>
      </c>
      <c r="I34" s="22"/>
      <c r="J34" s="22">
        <f>174.42+1501.08+2672.89+4587.24+12339+19384.42+181.22+1621.08+2778.13+4767+12315+20090.42-694.6-9620-22349-1024-2377.82+3401.82</f>
        <v>49748.29999999999</v>
      </c>
      <c r="K34" s="22"/>
      <c r="L34" s="22">
        <f>173+1502+2641+4532+12197+19143-2540-5901.08-1252.81-1057-455-16065.93+1512</f>
        <v>14428.179999999997</v>
      </c>
      <c r="M34" s="22">
        <f>212.36+2673+3256.7+5596+15228+22736+176.22+1500.64+2717.86+4650.59+12605+19805.46-17316.69</f>
        <v>73841.13999999998</v>
      </c>
      <c r="N34" s="22">
        <f>179.47+1915.08+2734.34+4704.54+12642+19386.84-1728-16042.96</f>
        <v>23791.310000000005</v>
      </c>
      <c r="O34" s="22">
        <f>185.56+1675.08+2822.64+4859.8+13035+20296.63-16043.3-2980.11</f>
        <v>23851.300000000007</v>
      </c>
      <c r="P34" s="22"/>
      <c r="Q34" s="22">
        <f>186.09+2065.74+2834.09+4876.93+13102+20008.79+213+2898+3209+5540+14768+22006-15752.29-8193.73-16648.8</f>
        <v>51112.82000000001</v>
      </c>
      <c r="R34" s="22">
        <f>191.64+1759.2+2901.63+5006+13362+20772.69-16647.76</f>
        <v>27345.400000000005</v>
      </c>
      <c r="S34" s="22">
        <f>173.49+1758.36+2659.08+4571.33+12301+18970.88-16648.46</f>
        <v>23785.68</v>
      </c>
      <c r="T34" s="31">
        <f>H34+I34+J34+K34+L34+M34+N34+O34+P34+Q34+R34+S34-81000</f>
        <v>229762.69</v>
      </c>
      <c r="U34" s="29"/>
      <c r="V34" s="44"/>
    </row>
    <row r="35" spans="1:22" ht="12.75">
      <c r="A35" s="15">
        <v>1.4</v>
      </c>
      <c r="B35" s="118" t="s">
        <v>64</v>
      </c>
      <c r="C35" s="118"/>
      <c r="D35" s="118"/>
      <c r="E35" s="118"/>
      <c r="F35" s="113">
        <v>40000</v>
      </c>
      <c r="G35" s="113"/>
      <c r="H35" s="22"/>
      <c r="I35" s="22"/>
      <c r="J35" s="22">
        <f>5350+1500</f>
        <v>6850</v>
      </c>
      <c r="K35" s="22"/>
      <c r="L35" s="22">
        <f>3045</f>
        <v>3045</v>
      </c>
      <c r="M35" s="22">
        <f>10000</f>
        <v>10000</v>
      </c>
      <c r="N35" s="22"/>
      <c r="O35" s="22"/>
      <c r="P35" s="22"/>
      <c r="Q35" s="22"/>
      <c r="R35" s="22"/>
      <c r="S35" s="22">
        <f>20000</f>
        <v>20000</v>
      </c>
      <c r="T35" s="31">
        <f t="shared" si="2"/>
        <v>39895</v>
      </c>
      <c r="U35" s="29"/>
      <c r="V35" s="44"/>
    </row>
    <row r="36" spans="1:22" ht="12.75">
      <c r="A36" s="15">
        <v>1.5</v>
      </c>
      <c r="B36" s="112" t="s">
        <v>16</v>
      </c>
      <c r="C36" s="112"/>
      <c r="D36" s="112"/>
      <c r="E36" s="112"/>
      <c r="F36" s="113">
        <v>70000</v>
      </c>
      <c r="G36" s="113"/>
      <c r="H36" s="15">
        <f>900+80+480+160+80+1110+80+300+490+810</f>
        <v>4490</v>
      </c>
      <c r="I36" s="15">
        <f>240+600+40+80+1080+100+540+160+240+360+490+810</f>
        <v>4740</v>
      </c>
      <c r="J36" s="22">
        <f>160+1380+200+600+80+780+20+600+160+420+490+810</f>
        <v>5700</v>
      </c>
      <c r="K36" s="22">
        <f>180+300+100+80+780+160+780+100+600+100+490+510+810</f>
        <v>4990</v>
      </c>
      <c r="L36" s="15">
        <f>180+540+100+600+180+540+80+490+810</f>
        <v>3520</v>
      </c>
      <c r="M36" s="15">
        <f>260+600+540+600+160+180+720+100+320+490+810</f>
        <v>4780</v>
      </c>
      <c r="N36" s="15">
        <f>20+900+180+900+160+20+720+80+20+660+180+490+810</f>
        <v>5140</v>
      </c>
      <c r="O36" s="15">
        <f>1200+20+960+260+80+630+80+180+480+420+490+810</f>
        <v>5610</v>
      </c>
      <c r="P36" s="15">
        <f>960+180+80+840+220+660+600+490+810</f>
        <v>4840</v>
      </c>
      <c r="Q36" s="15">
        <f>200+900+360+300+1380+100+20+600+780+600+320+490+810</f>
        <v>6860</v>
      </c>
      <c r="R36" s="15">
        <f>40+720+100+20+480+100+600+220+660+490+810</f>
        <v>4240</v>
      </c>
      <c r="S36" s="15">
        <f>20+840+320+990+300+120+840+120+120+540+100+220+600+140+600-210+490+810</f>
        <v>6960</v>
      </c>
      <c r="T36" s="31">
        <f t="shared" si="2"/>
        <v>61870</v>
      </c>
      <c r="U36" s="29"/>
      <c r="V36" s="44"/>
    </row>
    <row r="37" spans="1:22" ht="12.75">
      <c r="A37" s="15">
        <v>1.6</v>
      </c>
      <c r="B37" s="112" t="s">
        <v>143</v>
      </c>
      <c r="C37" s="112"/>
      <c r="D37" s="112"/>
      <c r="E37" s="112"/>
      <c r="F37" s="113">
        <v>13000</v>
      </c>
      <c r="G37" s="113"/>
      <c r="H37" s="15">
        <f>3.67+38.16+674.96+915.39</f>
        <v>1632.18</v>
      </c>
      <c r="I37" s="15">
        <f>730.81+200</f>
        <v>930.81</v>
      </c>
      <c r="J37" s="17">
        <f>668.59+300</f>
        <v>968.59</v>
      </c>
      <c r="K37" s="22">
        <f>742.09+500</f>
        <v>1242.0900000000001</v>
      </c>
      <c r="L37" s="22">
        <f>7.61</f>
        <v>7.61</v>
      </c>
      <c r="M37" s="22">
        <v>457.97</v>
      </c>
      <c r="N37" s="22"/>
      <c r="O37" s="22">
        <f>232.96+1007.35</f>
        <v>1240.31</v>
      </c>
      <c r="P37" s="22">
        <v>923.48</v>
      </c>
      <c r="Q37" s="22">
        <v>835.67</v>
      </c>
      <c r="R37" s="22">
        <v>777.14</v>
      </c>
      <c r="S37" s="22">
        <f>826.44+500</f>
        <v>1326.44</v>
      </c>
      <c r="T37" s="31">
        <f t="shared" si="2"/>
        <v>10342.289999999999</v>
      </c>
      <c r="U37" s="29"/>
      <c r="V37" s="44"/>
    </row>
    <row r="38" spans="1:22" ht="12.75">
      <c r="A38" s="15">
        <v>1.7</v>
      </c>
      <c r="B38" s="112" t="s">
        <v>144</v>
      </c>
      <c r="C38" s="112"/>
      <c r="D38" s="112"/>
      <c r="E38" s="112"/>
      <c r="F38" s="113">
        <v>10000</v>
      </c>
      <c r="G38" s="113"/>
      <c r="H38" s="22"/>
      <c r="I38" s="22">
        <f>4238.8+1117.06</f>
        <v>5355.860000000001</v>
      </c>
      <c r="J38" s="22"/>
      <c r="K38" s="22">
        <f>648.56</f>
        <v>648.56</v>
      </c>
      <c r="L38" s="22"/>
      <c r="M38" s="22">
        <f>1050</f>
        <v>1050</v>
      </c>
      <c r="N38" s="22">
        <v>520</v>
      </c>
      <c r="O38" s="22">
        <f>300</f>
        <v>300</v>
      </c>
      <c r="P38" s="22"/>
      <c r="Q38" s="22">
        <v>761</v>
      </c>
      <c r="R38" s="22"/>
      <c r="S38" s="22">
        <f>750+898.98-284.4</f>
        <v>1364.58</v>
      </c>
      <c r="T38" s="31">
        <f t="shared" si="2"/>
        <v>10000</v>
      </c>
      <c r="U38" s="29"/>
      <c r="V38" s="44"/>
    </row>
    <row r="39" spans="1:22" ht="12.75">
      <c r="A39" s="15">
        <v>1.8</v>
      </c>
      <c r="B39" s="112" t="s">
        <v>46</v>
      </c>
      <c r="C39" s="112"/>
      <c r="D39" s="112"/>
      <c r="E39" s="112"/>
      <c r="F39" s="113">
        <v>12000</v>
      </c>
      <c r="G39" s="113"/>
      <c r="H39" s="22">
        <v>396</v>
      </c>
      <c r="I39" s="22">
        <f>220</f>
        <v>220</v>
      </c>
      <c r="J39" s="22">
        <v>2800</v>
      </c>
      <c r="K39" s="22">
        <f>800.5</f>
        <v>800.5</v>
      </c>
      <c r="L39" s="22">
        <f>882</f>
        <v>882</v>
      </c>
      <c r="M39" s="22">
        <v>1014</v>
      </c>
      <c r="N39" s="22">
        <v>905</v>
      </c>
      <c r="O39" s="22"/>
      <c r="P39" s="22"/>
      <c r="Q39" s="22">
        <v>1257</v>
      </c>
      <c r="R39" s="22"/>
      <c r="S39" s="22">
        <f>1186+284.4</f>
        <v>1470.4</v>
      </c>
      <c r="T39" s="31">
        <f t="shared" si="2"/>
        <v>9744.9</v>
      </c>
      <c r="U39" s="29"/>
      <c r="V39" s="44"/>
    </row>
    <row r="40" spans="1:22" ht="12.75">
      <c r="A40" s="15">
        <v>1.9</v>
      </c>
      <c r="B40" s="112" t="s">
        <v>112</v>
      </c>
      <c r="C40" s="112"/>
      <c r="D40" s="112"/>
      <c r="E40" s="112"/>
      <c r="F40" s="113">
        <v>10000</v>
      </c>
      <c r="G40" s="113"/>
      <c r="H40" s="15"/>
      <c r="I40" s="15"/>
      <c r="J40" s="22"/>
      <c r="K40" s="25"/>
      <c r="L40" s="15"/>
      <c r="M40" s="22"/>
      <c r="N40" s="15"/>
      <c r="O40" s="15"/>
      <c r="P40" s="22"/>
      <c r="Q40" s="15">
        <v>3696</v>
      </c>
      <c r="R40" s="15"/>
      <c r="S40" s="15">
        <f>3000</f>
        <v>3000</v>
      </c>
      <c r="T40" s="31">
        <f t="shared" si="2"/>
        <v>6696</v>
      </c>
      <c r="U40" s="29"/>
      <c r="V40" s="44"/>
    </row>
    <row r="41" spans="1:22" ht="12.75">
      <c r="A41" s="44">
        <v>1.1</v>
      </c>
      <c r="B41" s="112" t="s">
        <v>145</v>
      </c>
      <c r="C41" s="112"/>
      <c r="D41" s="112"/>
      <c r="E41" s="112"/>
      <c r="F41" s="116">
        <v>55000</v>
      </c>
      <c r="G41" s="116"/>
      <c r="H41" s="22"/>
      <c r="I41" s="15"/>
      <c r="J41" s="22"/>
      <c r="K41" s="22"/>
      <c r="L41" s="22"/>
      <c r="M41" s="22"/>
      <c r="N41" s="22"/>
      <c r="O41" s="22"/>
      <c r="P41" s="22"/>
      <c r="Q41" s="15"/>
      <c r="R41" s="22"/>
      <c r="S41" s="22">
        <f>49980</f>
        <v>49980</v>
      </c>
      <c r="T41" s="31">
        <f t="shared" si="2"/>
        <v>49980</v>
      </c>
      <c r="U41" s="29"/>
      <c r="V41" s="44"/>
    </row>
    <row r="42" spans="1:22" ht="12.75">
      <c r="A42" s="44"/>
      <c r="B42" s="21"/>
      <c r="C42" s="21"/>
      <c r="D42" s="21"/>
      <c r="E42" s="21"/>
      <c r="F42" s="46"/>
      <c r="G42" s="46"/>
      <c r="H42" s="22"/>
      <c r="I42" s="15"/>
      <c r="J42" s="22"/>
      <c r="K42" s="22"/>
      <c r="L42" s="22"/>
      <c r="M42" s="22"/>
      <c r="N42" s="22"/>
      <c r="O42" s="22"/>
      <c r="P42" s="22"/>
      <c r="Q42" s="15"/>
      <c r="R42" s="22"/>
      <c r="S42" s="22"/>
      <c r="T42" s="31">
        <f t="shared" si="2"/>
        <v>0</v>
      </c>
      <c r="U42" s="29"/>
      <c r="V42" s="44"/>
    </row>
    <row r="43" spans="1:22" s="68" customFormat="1" ht="12.75">
      <c r="A43" s="67"/>
      <c r="B43" s="63" t="s">
        <v>8</v>
      </c>
      <c r="C43" s="69"/>
      <c r="D43" s="69"/>
      <c r="E43" s="69"/>
      <c r="F43" s="149">
        <f>SUM(F32:F42)</f>
        <v>1178040</v>
      </c>
      <c r="G43" s="150"/>
      <c r="H43" s="62">
        <f aca="true" t="shared" si="3" ref="H43:S43">SUM(H32:H42)</f>
        <v>77106.73999999999</v>
      </c>
      <c r="I43" s="62">
        <f t="shared" si="3"/>
        <v>58978.67</v>
      </c>
      <c r="J43" s="62">
        <f t="shared" si="3"/>
        <v>117759.83999999998</v>
      </c>
      <c r="K43" s="62">
        <f t="shared" si="3"/>
        <v>55413.149999999994</v>
      </c>
      <c r="L43" s="62">
        <f t="shared" si="3"/>
        <v>72395.79</v>
      </c>
      <c r="M43" s="62">
        <f t="shared" si="3"/>
        <v>141638.11</v>
      </c>
      <c r="N43" s="62">
        <f t="shared" si="3"/>
        <v>79662.31</v>
      </c>
      <c r="O43" s="62">
        <f t="shared" si="3"/>
        <v>80437.1</v>
      </c>
      <c r="P43" s="62">
        <f t="shared" si="3"/>
        <v>59040.48</v>
      </c>
      <c r="Q43" s="62">
        <f t="shared" si="3"/>
        <v>113829.49</v>
      </c>
      <c r="R43" s="62">
        <f t="shared" si="3"/>
        <v>88737.74</v>
      </c>
      <c r="S43" s="62">
        <f t="shared" si="3"/>
        <v>157196.09999999998</v>
      </c>
      <c r="T43" s="65">
        <f t="shared" si="2"/>
        <v>1102195.5199999998</v>
      </c>
      <c r="U43" s="66"/>
      <c r="V43" s="67"/>
    </row>
    <row r="44" spans="1:22" ht="12.75" hidden="1">
      <c r="A44" s="44"/>
      <c r="B44" s="21"/>
      <c r="C44" s="21"/>
      <c r="D44" s="21"/>
      <c r="E44" s="21"/>
      <c r="F44" s="46"/>
      <c r="G44" s="46"/>
      <c r="H44" s="22"/>
      <c r="I44" s="15"/>
      <c r="J44" s="22"/>
      <c r="K44" s="22"/>
      <c r="L44" s="22"/>
      <c r="M44" s="22"/>
      <c r="N44" s="22"/>
      <c r="O44" s="22"/>
      <c r="P44" s="22"/>
      <c r="Q44" s="15"/>
      <c r="R44" s="22"/>
      <c r="S44" s="22"/>
      <c r="T44" s="31">
        <f t="shared" si="2"/>
        <v>0</v>
      </c>
      <c r="U44" s="29"/>
      <c r="V44" s="44"/>
    </row>
    <row r="45" spans="1:22" ht="12.75">
      <c r="A45" s="15"/>
      <c r="B45" s="112"/>
      <c r="C45" s="112"/>
      <c r="D45" s="112"/>
      <c r="E45" s="112"/>
      <c r="F45" s="116"/>
      <c r="G45" s="116"/>
      <c r="H45" s="22"/>
      <c r="I45" s="15"/>
      <c r="J45" s="17"/>
      <c r="K45" s="25"/>
      <c r="L45" s="15"/>
      <c r="M45" s="15"/>
      <c r="N45" s="15"/>
      <c r="O45" s="15"/>
      <c r="P45" s="22"/>
      <c r="Q45" s="15"/>
      <c r="R45" s="15"/>
      <c r="S45" s="15"/>
      <c r="T45" s="31">
        <f t="shared" si="2"/>
        <v>0</v>
      </c>
      <c r="U45" s="29"/>
      <c r="V45" s="44"/>
    </row>
    <row r="46" spans="1:22" ht="12.75">
      <c r="A46" s="55">
        <v>2</v>
      </c>
      <c r="B46" s="156" t="s">
        <v>159</v>
      </c>
      <c r="C46" s="156"/>
      <c r="D46" s="156"/>
      <c r="E46" s="156"/>
      <c r="F46" s="116"/>
      <c r="G46" s="116"/>
      <c r="H46" s="15"/>
      <c r="I46" s="15"/>
      <c r="J46" s="17"/>
      <c r="K46" s="25"/>
      <c r="L46" s="15"/>
      <c r="M46" s="22"/>
      <c r="N46" s="34"/>
      <c r="O46" s="34"/>
      <c r="P46" s="15"/>
      <c r="Q46" s="15"/>
      <c r="R46" s="15"/>
      <c r="S46" s="15"/>
      <c r="T46" s="31">
        <f t="shared" si="2"/>
        <v>0</v>
      </c>
      <c r="U46" s="29"/>
      <c r="V46" s="44"/>
    </row>
    <row r="47" spans="1:22" ht="12.75">
      <c r="A47" s="15">
        <v>2.1</v>
      </c>
      <c r="B47" s="112" t="s">
        <v>147</v>
      </c>
      <c r="C47" s="112"/>
      <c r="D47" s="112"/>
      <c r="E47" s="112"/>
      <c r="F47" s="113">
        <v>390456</v>
      </c>
      <c r="G47" s="113"/>
      <c r="H47" s="15">
        <v>32373</v>
      </c>
      <c r="I47" s="15">
        <f>12200+20174</f>
        <v>32374</v>
      </c>
      <c r="J47" s="17">
        <f>12200+20108-299</f>
        <v>32009</v>
      </c>
      <c r="K47" s="25">
        <f>14800+17572</f>
        <v>32372</v>
      </c>
      <c r="L47" s="15">
        <f>14800+17554</f>
        <v>32354</v>
      </c>
      <c r="M47" s="22">
        <f>14800+17574</f>
        <v>32374</v>
      </c>
      <c r="N47" s="15">
        <f>14800+17508</f>
        <v>32308</v>
      </c>
      <c r="O47" s="15">
        <f>14800+17509</f>
        <v>32309</v>
      </c>
      <c r="P47" s="15">
        <f>14800+20095</f>
        <v>34895</v>
      </c>
      <c r="Q47" s="15">
        <f>14800+18729</f>
        <v>33529</v>
      </c>
      <c r="R47" s="15">
        <f>14800+18726</f>
        <v>33526</v>
      </c>
      <c r="S47" s="15">
        <f>14800+18728</f>
        <v>33528</v>
      </c>
      <c r="T47" s="31">
        <f>H47+I47+J47+K47+L47+M47+N47+O47+P47+Q47+R47+S47-4000</f>
        <v>389951</v>
      </c>
      <c r="U47" s="29"/>
      <c r="V47" s="44"/>
    </row>
    <row r="48" spans="1:22" ht="12.75">
      <c r="A48" s="15">
        <v>2.2</v>
      </c>
      <c r="B48" s="112" t="s">
        <v>142</v>
      </c>
      <c r="C48" s="112"/>
      <c r="D48" s="112"/>
      <c r="E48" s="112"/>
      <c r="F48" s="116">
        <v>120000</v>
      </c>
      <c r="G48" s="116"/>
      <c r="H48" s="15">
        <f>4837+11237.52</f>
        <v>16074.52</v>
      </c>
      <c r="I48" s="15"/>
      <c r="J48" s="17">
        <f>9620+22349</f>
        <v>31969</v>
      </c>
      <c r="K48" s="25"/>
      <c r="L48" s="15">
        <f>4835+11230.93</f>
        <v>16065.93</v>
      </c>
      <c r="M48" s="15">
        <f>4837+11237.87</f>
        <v>16074.87</v>
      </c>
      <c r="N48" s="15">
        <f>4828+11214.96+210</f>
        <v>16252.96</v>
      </c>
      <c r="O48" s="15">
        <f>4828+11215.3</f>
        <v>16043.3</v>
      </c>
      <c r="P48" s="15"/>
      <c r="Q48" s="15">
        <f>5214+10538.29+5010+11638.8</f>
        <v>32401.09</v>
      </c>
      <c r="R48" s="15">
        <f>5010+11637.76</f>
        <v>16647.760000000002</v>
      </c>
      <c r="S48" s="15">
        <f>5010+11638.46</f>
        <v>16648.46</v>
      </c>
      <c r="T48" s="31">
        <f>H48+I48+J48+K48+L48+M48+N48+O48+P48+Q48+R48+S48-40000-19000</f>
        <v>119177.89000000001</v>
      </c>
      <c r="U48" s="29"/>
      <c r="V48" s="44"/>
    </row>
    <row r="49" spans="1:22" ht="12.75">
      <c r="A49" s="15">
        <v>2.3</v>
      </c>
      <c r="B49" s="112" t="s">
        <v>148</v>
      </c>
      <c r="C49" s="112"/>
      <c r="D49" s="112"/>
      <c r="E49" s="112"/>
      <c r="F49" s="113">
        <v>120000</v>
      </c>
      <c r="G49" s="113"/>
      <c r="H49" s="15"/>
      <c r="I49" s="22">
        <f>350</f>
        <v>350</v>
      </c>
      <c r="J49" s="22">
        <f>2001+694.6+299</f>
        <v>2994.6</v>
      </c>
      <c r="K49" s="22">
        <f>2523+3631</f>
        <v>6154</v>
      </c>
      <c r="L49" s="22">
        <f>1252.81+55</f>
        <v>1307.81</v>
      </c>
      <c r="M49" s="22">
        <f>2500+374+867.82+11870</f>
        <v>15611.82</v>
      </c>
      <c r="N49" s="22">
        <f>3480+520+1208+2715</f>
        <v>7923</v>
      </c>
      <c r="O49" s="22">
        <f>6001+897+2083.11</f>
        <v>8981.11</v>
      </c>
      <c r="P49" s="15"/>
      <c r="Q49" s="22">
        <v>3669</v>
      </c>
      <c r="R49" s="15"/>
      <c r="S49" s="22">
        <v>28790</v>
      </c>
      <c r="T49" s="31">
        <f>H49+I49+J49+K49+L49+M49+N49+O49+P49+Q49+R49+S49+4000+40000-24480</f>
        <v>95301.34</v>
      </c>
      <c r="U49" s="29"/>
      <c r="V49" s="44"/>
    </row>
    <row r="50" spans="1:22" ht="12.75">
      <c r="A50" s="15">
        <v>2.4</v>
      </c>
      <c r="B50" s="112" t="s">
        <v>149</v>
      </c>
      <c r="C50" s="112"/>
      <c r="D50" s="112"/>
      <c r="E50" s="112"/>
      <c r="F50" s="116">
        <v>70000</v>
      </c>
      <c r="G50" s="116"/>
      <c r="H50" s="15">
        <v>785</v>
      </c>
      <c r="I50" s="15"/>
      <c r="J50" s="17"/>
      <c r="K50" s="25">
        <f>172</f>
        <v>172</v>
      </c>
      <c r="L50" s="15"/>
      <c r="M50" s="15"/>
      <c r="N50" s="15">
        <v>2500</v>
      </c>
      <c r="O50" s="15"/>
      <c r="P50" s="15"/>
      <c r="Q50" s="15">
        <v>5300</v>
      </c>
      <c r="R50" s="15"/>
      <c r="S50" s="15">
        <f>13150+5000+3350</f>
        <v>21500</v>
      </c>
      <c r="T50" s="31">
        <f t="shared" si="2"/>
        <v>30257</v>
      </c>
      <c r="U50" s="29"/>
      <c r="V50" s="44"/>
    </row>
    <row r="51" spans="1:22" ht="12.75">
      <c r="A51" s="15">
        <v>2.5</v>
      </c>
      <c r="B51" s="155" t="s">
        <v>150</v>
      </c>
      <c r="C51" s="155"/>
      <c r="D51" s="155"/>
      <c r="E51" s="155"/>
      <c r="F51" s="116">
        <v>60000</v>
      </c>
      <c r="G51" s="116"/>
      <c r="H51" s="15">
        <f>330.4+1687.89</f>
        <v>2018.29</v>
      </c>
      <c r="I51" s="15">
        <v>2018.29</v>
      </c>
      <c r="J51" s="17"/>
      <c r="K51" s="25">
        <f>2018.29+2018.29</f>
        <v>4036.58</v>
      </c>
      <c r="L51" s="15"/>
      <c r="M51" s="22">
        <f>2018.29+2018.29</f>
        <v>4036.58</v>
      </c>
      <c r="N51" s="15">
        <f>7643.35</f>
        <v>7643.35</v>
      </c>
      <c r="O51" s="22">
        <f>2018.29+5625.06</f>
        <v>7643.35</v>
      </c>
      <c r="P51" s="22">
        <v>2018.29</v>
      </c>
      <c r="Q51" s="15">
        <f>2018.29+5625.06</f>
        <v>7643.35</v>
      </c>
      <c r="R51" s="15">
        <v>2018.29</v>
      </c>
      <c r="S51" s="15">
        <v>2018.29</v>
      </c>
      <c r="T51" s="31">
        <f t="shared" si="2"/>
        <v>41094.66</v>
      </c>
      <c r="U51" s="29"/>
      <c r="V51" s="44"/>
    </row>
    <row r="52" spans="1:22" ht="12.75">
      <c r="A52" s="15">
        <v>2.6</v>
      </c>
      <c r="B52" s="112" t="s">
        <v>54</v>
      </c>
      <c r="C52" s="112"/>
      <c r="D52" s="112"/>
      <c r="E52" s="112"/>
      <c r="F52" s="113">
        <v>300000</v>
      </c>
      <c r="G52" s="113"/>
      <c r="H52" s="15"/>
      <c r="I52" s="15">
        <f>21353.28</f>
        <v>21353.28</v>
      </c>
      <c r="J52" s="17">
        <f>21353.28+21353.28</f>
        <v>42706.56</v>
      </c>
      <c r="K52" s="25"/>
      <c r="L52" s="22">
        <f>4910.72+21353.28+22237.21</f>
        <v>48501.21</v>
      </c>
      <c r="M52" s="15">
        <v>21353.28</v>
      </c>
      <c r="N52" s="15">
        <v>21353.85</v>
      </c>
      <c r="O52" s="15"/>
      <c r="P52" s="15">
        <v>23563.85</v>
      </c>
      <c r="Q52" s="15">
        <f>22563.85+22563.85</f>
        <v>45127.7</v>
      </c>
      <c r="R52" s="15">
        <v>22563.85</v>
      </c>
      <c r="S52" s="15">
        <f>22563.85+210</f>
        <v>22773.85</v>
      </c>
      <c r="T52" s="31">
        <f t="shared" si="2"/>
        <v>269297.43</v>
      </c>
      <c r="U52" s="29"/>
      <c r="V52" s="44"/>
    </row>
    <row r="53" spans="1:22" ht="12.75">
      <c r="A53" s="15">
        <v>2.7</v>
      </c>
      <c r="B53" s="136" t="s">
        <v>151</v>
      </c>
      <c r="C53" s="137"/>
      <c r="D53" s="137"/>
      <c r="E53" s="138"/>
      <c r="F53" s="113">
        <v>30000</v>
      </c>
      <c r="G53" s="115"/>
      <c r="H53" s="22"/>
      <c r="I53" s="22"/>
      <c r="J53" s="17"/>
      <c r="K53" s="22"/>
      <c r="L53" s="15"/>
      <c r="M53" s="22"/>
      <c r="N53" s="22"/>
      <c r="O53" s="22"/>
      <c r="P53" s="22"/>
      <c r="Q53" s="22"/>
      <c r="R53" s="22"/>
      <c r="S53" s="22"/>
      <c r="T53" s="31">
        <v>24480</v>
      </c>
      <c r="U53" s="29"/>
      <c r="V53" s="44"/>
    </row>
    <row r="54" spans="1:22" ht="12.75">
      <c r="A54" s="15">
        <v>2.8</v>
      </c>
      <c r="B54" s="21" t="s">
        <v>152</v>
      </c>
      <c r="C54" s="21"/>
      <c r="D54" s="21"/>
      <c r="E54" s="21"/>
      <c r="F54" s="113">
        <v>30000</v>
      </c>
      <c r="G54" s="115"/>
      <c r="H54" s="15">
        <v>2500</v>
      </c>
      <c r="I54" s="15">
        <v>2500</v>
      </c>
      <c r="J54" s="22"/>
      <c r="K54" s="25">
        <v>2500</v>
      </c>
      <c r="L54" s="15">
        <v>2500</v>
      </c>
      <c r="M54" s="22">
        <v>2500</v>
      </c>
      <c r="N54" s="15">
        <f>2500+2500</f>
        <v>5000</v>
      </c>
      <c r="O54" s="15"/>
      <c r="P54" s="22"/>
      <c r="Q54" s="15">
        <v>5000</v>
      </c>
      <c r="R54" s="15">
        <v>2500</v>
      </c>
      <c r="S54" s="22">
        <f>2500+2500</f>
        <v>5000</v>
      </c>
      <c r="T54" s="31">
        <f t="shared" si="2"/>
        <v>30000</v>
      </c>
      <c r="U54" s="29"/>
      <c r="V54" s="44"/>
    </row>
    <row r="55" spans="1:22" ht="12.75">
      <c r="A55" s="15">
        <v>2.9</v>
      </c>
      <c r="B55" s="136" t="s">
        <v>153</v>
      </c>
      <c r="C55" s="143"/>
      <c r="D55" s="143"/>
      <c r="E55" s="134"/>
      <c r="F55" s="133">
        <v>80000</v>
      </c>
      <c r="G55" s="134"/>
      <c r="H55" s="15">
        <v>7000</v>
      </c>
      <c r="I55" s="15">
        <f>5500</f>
        <v>5500</v>
      </c>
      <c r="J55" s="22">
        <v>4000</v>
      </c>
      <c r="K55" s="25">
        <v>850</v>
      </c>
      <c r="L55" s="15">
        <f>17000+5901.08+2540+14800</f>
        <v>40241.08</v>
      </c>
      <c r="M55" s="22">
        <v>200</v>
      </c>
      <c r="N55" s="15"/>
      <c r="O55" s="15"/>
      <c r="P55" s="22"/>
      <c r="Q55" s="15">
        <f>16500+2466+5727.73+19200</f>
        <v>43893.729999999996</v>
      </c>
      <c r="R55" s="15">
        <f>184+6315</f>
        <v>6499</v>
      </c>
      <c r="S55" s="22">
        <f>-28790</f>
        <v>-28790</v>
      </c>
      <c r="T55" s="31">
        <f t="shared" si="2"/>
        <v>79393.81</v>
      </c>
      <c r="U55" s="29"/>
      <c r="V55" s="44"/>
    </row>
    <row r="56" spans="1:22" ht="12.75">
      <c r="A56" s="44">
        <v>2.1</v>
      </c>
      <c r="B56" s="136" t="s">
        <v>154</v>
      </c>
      <c r="C56" s="143"/>
      <c r="D56" s="143"/>
      <c r="E56" s="134"/>
      <c r="F56" s="133">
        <v>90000</v>
      </c>
      <c r="G56" s="134"/>
      <c r="H56" s="15"/>
      <c r="I56" s="15"/>
      <c r="J56" s="22"/>
      <c r="K56" s="25"/>
      <c r="L56" s="15"/>
      <c r="M56" s="22"/>
      <c r="N56" s="15">
        <f>79657.82</f>
        <v>79657.82</v>
      </c>
      <c r="O56" s="15"/>
      <c r="P56" s="22"/>
      <c r="Q56" s="15"/>
      <c r="R56" s="15"/>
      <c r="S56" s="22"/>
      <c r="T56" s="31">
        <f t="shared" si="2"/>
        <v>79657.82</v>
      </c>
      <c r="U56" s="29"/>
      <c r="V56" s="44"/>
    </row>
    <row r="57" spans="1:22" ht="12.75">
      <c r="A57" s="15">
        <v>2.11</v>
      </c>
      <c r="B57" s="136" t="s">
        <v>119</v>
      </c>
      <c r="C57" s="143"/>
      <c r="D57" s="143"/>
      <c r="E57" s="134"/>
      <c r="F57" s="133">
        <v>60000</v>
      </c>
      <c r="G57" s="134"/>
      <c r="H57" s="15">
        <f>3000</f>
        <v>3000</v>
      </c>
      <c r="I57" s="15">
        <v>5000</v>
      </c>
      <c r="J57" s="22">
        <v>5000</v>
      </c>
      <c r="K57" s="25">
        <v>5000</v>
      </c>
      <c r="L57" s="15">
        <v>5000</v>
      </c>
      <c r="M57" s="22">
        <v>4000</v>
      </c>
      <c r="N57" s="15">
        <v>5000</v>
      </c>
      <c r="O57" s="15">
        <v>5000</v>
      </c>
      <c r="P57" s="22">
        <v>3000</v>
      </c>
      <c r="Q57" s="15">
        <v>3000</v>
      </c>
      <c r="R57" s="15"/>
      <c r="S57" s="22">
        <v>5000</v>
      </c>
      <c r="T57" s="31">
        <f t="shared" si="2"/>
        <v>48000</v>
      </c>
      <c r="U57" s="29"/>
      <c r="V57" s="44"/>
    </row>
    <row r="58" spans="1:22" ht="12.75">
      <c r="A58" s="15">
        <v>2.12</v>
      </c>
      <c r="B58" s="136" t="s">
        <v>155</v>
      </c>
      <c r="C58" s="143"/>
      <c r="D58" s="143"/>
      <c r="E58" s="134"/>
      <c r="F58" s="133">
        <v>30000</v>
      </c>
      <c r="G58" s="134"/>
      <c r="H58" s="15"/>
      <c r="I58" s="15"/>
      <c r="J58" s="22"/>
      <c r="K58" s="25"/>
      <c r="L58" s="15"/>
      <c r="M58" s="22"/>
      <c r="N58" s="15">
        <f>17872.5</f>
        <v>17872.5</v>
      </c>
      <c r="O58" s="15"/>
      <c r="P58" s="22"/>
      <c r="Q58" s="15"/>
      <c r="R58" s="15"/>
      <c r="S58" s="22"/>
      <c r="T58" s="31">
        <f t="shared" si="2"/>
        <v>17872.5</v>
      </c>
      <c r="U58" s="29"/>
      <c r="V58" s="44"/>
    </row>
    <row r="59" spans="1:22" ht="12.75" hidden="1">
      <c r="A59" s="15"/>
      <c r="B59" s="39"/>
      <c r="C59" s="40"/>
      <c r="D59" s="40"/>
      <c r="E59" s="41"/>
      <c r="F59" s="37"/>
      <c r="G59" s="42"/>
      <c r="H59" s="15"/>
      <c r="I59" s="15"/>
      <c r="J59" s="22"/>
      <c r="K59" s="25"/>
      <c r="L59" s="15"/>
      <c r="M59" s="22"/>
      <c r="N59" s="15"/>
      <c r="O59" s="15"/>
      <c r="P59" s="22"/>
      <c r="Q59" s="15"/>
      <c r="R59" s="15"/>
      <c r="S59" s="22"/>
      <c r="T59" s="31">
        <f t="shared" si="2"/>
        <v>0</v>
      </c>
      <c r="U59" s="29"/>
      <c r="V59" s="44"/>
    </row>
    <row r="60" spans="1:22" ht="12.75">
      <c r="A60" s="15"/>
      <c r="B60" s="39"/>
      <c r="C60" s="40"/>
      <c r="D60" s="40"/>
      <c r="E60" s="41"/>
      <c r="F60" s="37"/>
      <c r="G60" s="42"/>
      <c r="H60" s="15"/>
      <c r="I60" s="15"/>
      <c r="J60" s="22"/>
      <c r="K60" s="25"/>
      <c r="L60" s="15"/>
      <c r="M60" s="22"/>
      <c r="N60" s="15"/>
      <c r="O60" s="15"/>
      <c r="P60" s="22"/>
      <c r="Q60" s="15"/>
      <c r="R60" s="15"/>
      <c r="S60" s="22"/>
      <c r="T60" s="31">
        <f t="shared" si="2"/>
        <v>0</v>
      </c>
      <c r="U60" s="29"/>
      <c r="V60" s="44" t="s">
        <v>89</v>
      </c>
    </row>
    <row r="61" spans="1:22" s="68" customFormat="1" ht="12.75">
      <c r="A61" s="62"/>
      <c r="B61" s="146" t="s">
        <v>8</v>
      </c>
      <c r="C61" s="147"/>
      <c r="D61" s="147"/>
      <c r="E61" s="148"/>
      <c r="F61" s="149">
        <f>SUM(F47:F60)</f>
        <v>1380456</v>
      </c>
      <c r="G61" s="150"/>
      <c r="H61" s="62">
        <f aca="true" t="shared" si="4" ref="H61:S61">SUM(H47:H60)</f>
        <v>63750.810000000005</v>
      </c>
      <c r="I61" s="62">
        <f t="shared" si="4"/>
        <v>69095.57</v>
      </c>
      <c r="J61" s="62">
        <f t="shared" si="4"/>
        <v>118679.16</v>
      </c>
      <c r="K61" s="62">
        <f t="shared" si="4"/>
        <v>51084.58</v>
      </c>
      <c r="L61" s="62">
        <f t="shared" si="4"/>
        <v>145970.03</v>
      </c>
      <c r="M61" s="62">
        <f t="shared" si="4"/>
        <v>96150.55</v>
      </c>
      <c r="N61" s="62">
        <f t="shared" si="4"/>
        <v>195511.48</v>
      </c>
      <c r="O61" s="62">
        <f t="shared" si="4"/>
        <v>69976.76000000001</v>
      </c>
      <c r="P61" s="62">
        <f t="shared" si="4"/>
        <v>63477.14</v>
      </c>
      <c r="Q61" s="62">
        <f t="shared" si="4"/>
        <v>179563.87</v>
      </c>
      <c r="R61" s="62">
        <f t="shared" si="4"/>
        <v>83754.9</v>
      </c>
      <c r="S61" s="62">
        <f t="shared" si="4"/>
        <v>106468.59999999998</v>
      </c>
      <c r="T61" s="67">
        <f>SUM(T47:T60)</f>
        <v>1224483.4500000002</v>
      </c>
      <c r="U61" s="66"/>
      <c r="V61" s="67" t="s">
        <v>89</v>
      </c>
    </row>
    <row r="62" spans="1:22" ht="12.75">
      <c r="A62" s="15"/>
      <c r="B62" s="52"/>
      <c r="C62" s="53"/>
      <c r="D62" s="53"/>
      <c r="E62" s="54"/>
      <c r="F62" s="37"/>
      <c r="G62" s="38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44"/>
      <c r="T62" s="44"/>
      <c r="U62" s="29"/>
      <c r="V62" s="44"/>
    </row>
    <row r="63" spans="1:22" ht="12.75">
      <c r="A63" s="47" t="s">
        <v>146</v>
      </c>
      <c r="B63" s="39"/>
      <c r="C63" s="40"/>
      <c r="D63" s="40"/>
      <c r="E63" s="41"/>
      <c r="F63" s="37"/>
      <c r="G63" s="38"/>
      <c r="H63" s="15"/>
      <c r="I63" s="15"/>
      <c r="J63" s="22"/>
      <c r="K63" s="25"/>
      <c r="L63" s="15"/>
      <c r="M63" s="22"/>
      <c r="N63" s="15"/>
      <c r="O63" s="15"/>
      <c r="P63" s="22"/>
      <c r="Q63" s="15"/>
      <c r="R63" s="15"/>
      <c r="S63" s="22"/>
      <c r="T63" s="31"/>
      <c r="U63" s="29"/>
      <c r="V63" s="44"/>
    </row>
    <row r="64" spans="1:22" ht="12.75">
      <c r="A64" s="15"/>
      <c r="B64" s="21" t="s">
        <v>121</v>
      </c>
      <c r="C64" s="21"/>
      <c r="D64" s="21"/>
      <c r="E64" s="21"/>
      <c r="F64" s="113">
        <v>110000</v>
      </c>
      <c r="G64" s="115"/>
      <c r="H64" s="15"/>
      <c r="I64" s="15"/>
      <c r="J64" s="17">
        <v>38765</v>
      </c>
      <c r="K64" s="25"/>
      <c r="L64" s="15"/>
      <c r="M64" s="15"/>
      <c r="N64" s="15">
        <v>37704</v>
      </c>
      <c r="O64" s="15"/>
      <c r="P64" s="15"/>
      <c r="Q64" s="15">
        <v>35000</v>
      </c>
      <c r="R64" s="15"/>
      <c r="S64" s="15"/>
      <c r="T64" s="31">
        <f aca="true" t="shared" si="5" ref="T64:T69">H64+I64+J64+K64+L64+M64+N64+O64+P64+Q64+R64+S64</f>
        <v>111469</v>
      </c>
      <c r="U64" s="29"/>
      <c r="V64" s="44"/>
    </row>
    <row r="65" spans="1:22" ht="12.75">
      <c r="A65" s="15"/>
      <c r="B65" s="21" t="s">
        <v>156</v>
      </c>
      <c r="C65" s="21"/>
      <c r="D65" s="21"/>
      <c r="E65" s="21"/>
      <c r="F65" s="113">
        <v>70000</v>
      </c>
      <c r="G65" s="115"/>
      <c r="H65" s="22"/>
      <c r="I65" s="15">
        <f>27500</f>
        <v>27500</v>
      </c>
      <c r="J65" s="22"/>
      <c r="K65" s="22">
        <f>503.12+1200</f>
        <v>1703.12</v>
      </c>
      <c r="L65" s="15"/>
      <c r="M65" s="22">
        <f>27500</f>
        <v>27500</v>
      </c>
      <c r="N65" s="22">
        <f>974.46+3000</f>
        <v>3974.46</v>
      </c>
      <c r="O65" s="22"/>
      <c r="P65" s="22"/>
      <c r="Q65" s="22">
        <f>861.66+1500</f>
        <v>2361.66</v>
      </c>
      <c r="R65" s="22">
        <f>675</f>
        <v>675</v>
      </c>
      <c r="S65" s="22">
        <f>861.66+1500</f>
        <v>2361.66</v>
      </c>
      <c r="T65" s="31">
        <f t="shared" si="5"/>
        <v>66075.9</v>
      </c>
      <c r="U65" s="29"/>
      <c r="V65" s="44"/>
    </row>
    <row r="66" spans="1:22" ht="12.75">
      <c r="A66" s="15"/>
      <c r="B66" s="21" t="s">
        <v>117</v>
      </c>
      <c r="C66" s="21"/>
      <c r="D66" s="21"/>
      <c r="E66" s="21"/>
      <c r="F66" s="113">
        <v>10000</v>
      </c>
      <c r="G66" s="115"/>
      <c r="H66" s="15"/>
      <c r="I66" s="15"/>
      <c r="J66" s="17"/>
      <c r="K66" s="25"/>
      <c r="L66" s="15"/>
      <c r="M66" s="15"/>
      <c r="N66" s="15"/>
      <c r="O66" s="22"/>
      <c r="P66" s="15"/>
      <c r="Q66" s="15">
        <v>7628</v>
      </c>
      <c r="R66" s="22"/>
      <c r="S66" s="15"/>
      <c r="T66" s="31">
        <f t="shared" si="5"/>
        <v>7628</v>
      </c>
      <c r="U66" s="29"/>
      <c r="V66" s="44"/>
    </row>
    <row r="67" spans="1:22" ht="12.75">
      <c r="A67" s="15"/>
      <c r="B67" s="21" t="s">
        <v>157</v>
      </c>
      <c r="C67" s="21"/>
      <c r="D67" s="21"/>
      <c r="E67" s="21"/>
      <c r="F67" s="113">
        <v>22000</v>
      </c>
      <c r="G67" s="115"/>
      <c r="H67" s="22"/>
      <c r="I67" s="22"/>
      <c r="J67" s="22"/>
      <c r="K67" s="22">
        <v>5100</v>
      </c>
      <c r="L67" s="22"/>
      <c r="M67" s="22">
        <v>5100</v>
      </c>
      <c r="N67" s="22"/>
      <c r="O67" s="22"/>
      <c r="P67" s="15"/>
      <c r="Q67" s="22">
        <v>5100</v>
      </c>
      <c r="R67" s="22"/>
      <c r="S67" s="22">
        <v>5100</v>
      </c>
      <c r="T67" s="31">
        <f t="shared" si="5"/>
        <v>20400</v>
      </c>
      <c r="U67" s="29"/>
      <c r="V67" s="44"/>
    </row>
    <row r="68" spans="1:22" ht="12.75">
      <c r="A68" s="15"/>
      <c r="B68" s="21" t="s">
        <v>113</v>
      </c>
      <c r="C68" s="21"/>
      <c r="D68" s="21"/>
      <c r="E68" s="21"/>
      <c r="F68" s="133">
        <v>210000</v>
      </c>
      <c r="G68" s="134"/>
      <c r="H68" s="22"/>
      <c r="I68" s="22"/>
      <c r="J68" s="22"/>
      <c r="K68" s="22"/>
      <c r="L68" s="22"/>
      <c r="M68" s="22"/>
      <c r="N68" s="22"/>
      <c r="O68" s="22"/>
      <c r="P68" s="15"/>
      <c r="Q68" s="22"/>
      <c r="R68" s="22"/>
      <c r="S68" s="22"/>
      <c r="T68" s="31">
        <f t="shared" si="5"/>
        <v>0</v>
      </c>
      <c r="U68" s="29"/>
      <c r="V68" s="44"/>
    </row>
    <row r="69" spans="1:22" ht="12.75">
      <c r="A69" s="15"/>
      <c r="B69" s="39" t="s">
        <v>127</v>
      </c>
      <c r="C69" s="40"/>
      <c r="D69" s="40"/>
      <c r="E69" s="41"/>
      <c r="F69" s="133">
        <v>360000</v>
      </c>
      <c r="G69" s="134"/>
      <c r="H69" s="22"/>
      <c r="I69" s="22">
        <f>30000+20000+30000</f>
        <v>80000</v>
      </c>
      <c r="J69" s="22">
        <v>30000</v>
      </c>
      <c r="K69" s="22">
        <v>30000</v>
      </c>
      <c r="L69" s="22"/>
      <c r="M69" s="22">
        <f>30000+30000</f>
        <v>60000</v>
      </c>
      <c r="N69" s="22">
        <v>30000</v>
      </c>
      <c r="O69" s="22">
        <v>30000</v>
      </c>
      <c r="P69" s="15"/>
      <c r="Q69" s="22">
        <f>30000+30000</f>
        <v>60000</v>
      </c>
      <c r="R69" s="22">
        <v>30000</v>
      </c>
      <c r="S69" s="22">
        <f>30000-20000</f>
        <v>10000</v>
      </c>
      <c r="T69" s="31">
        <f t="shared" si="5"/>
        <v>360000</v>
      </c>
      <c r="U69" s="29"/>
      <c r="V69" s="44"/>
    </row>
    <row r="70" spans="1:22" ht="12.75" hidden="1">
      <c r="A70" s="15">
        <v>25</v>
      </c>
      <c r="B70" s="39" t="s">
        <v>127</v>
      </c>
      <c r="C70" s="40"/>
      <c r="D70" s="40"/>
      <c r="E70" s="41"/>
      <c r="F70" s="133" t="s">
        <v>89</v>
      </c>
      <c r="G70" s="134"/>
      <c r="H70" s="22"/>
      <c r="I70" s="22"/>
      <c r="J70" s="22"/>
      <c r="K70" s="22"/>
      <c r="L70" s="22"/>
      <c r="M70" s="22"/>
      <c r="N70" s="22"/>
      <c r="O70" s="22"/>
      <c r="P70" s="15"/>
      <c r="Q70" s="22"/>
      <c r="R70" s="22"/>
      <c r="S70" s="22"/>
      <c r="T70" s="31"/>
      <c r="U70" s="29"/>
      <c r="V70" s="44"/>
    </row>
    <row r="71" spans="1:22" ht="12.75" hidden="1">
      <c r="A71" s="15"/>
      <c r="B71" s="136"/>
      <c r="C71" s="137"/>
      <c r="D71" s="137"/>
      <c r="E71" s="138"/>
      <c r="F71" s="133"/>
      <c r="G71" s="134"/>
      <c r="H71" s="22"/>
      <c r="I71" s="22"/>
      <c r="J71" s="22"/>
      <c r="K71" s="22"/>
      <c r="L71" s="22"/>
      <c r="M71" s="22"/>
      <c r="N71" s="22"/>
      <c r="O71" s="22"/>
      <c r="P71" s="15"/>
      <c r="Q71" s="22"/>
      <c r="R71" s="22"/>
      <c r="S71" s="22"/>
      <c r="T71" s="31"/>
      <c r="U71" s="29"/>
      <c r="V71" s="44"/>
    </row>
    <row r="72" spans="1:22" ht="12.75">
      <c r="A72" s="15"/>
      <c r="B72" s="136"/>
      <c r="C72" s="137"/>
      <c r="D72" s="137"/>
      <c r="E72" s="138"/>
      <c r="F72" s="133"/>
      <c r="G72" s="134"/>
      <c r="H72" s="22"/>
      <c r="I72" s="22"/>
      <c r="J72" s="22"/>
      <c r="K72" s="22"/>
      <c r="L72" s="22"/>
      <c r="M72" s="22"/>
      <c r="N72" s="22"/>
      <c r="O72" s="22"/>
      <c r="P72" s="15"/>
      <c r="Q72" s="22"/>
      <c r="R72" s="22"/>
      <c r="S72" s="22"/>
      <c r="T72" s="31"/>
      <c r="U72" s="29"/>
      <c r="V72" s="44"/>
    </row>
    <row r="73" spans="1:22" s="60" customFormat="1" ht="12.75">
      <c r="A73" s="61"/>
      <c r="B73" s="151" t="s">
        <v>8</v>
      </c>
      <c r="C73" s="151"/>
      <c r="D73" s="151"/>
      <c r="E73" s="151"/>
      <c r="F73" s="152">
        <f>SUM(F64:F72)</f>
        <v>782000</v>
      </c>
      <c r="G73" s="151"/>
      <c r="H73" s="64">
        <f aca="true" t="shared" si="6" ref="H73:T73">SUM(H64:H72)</f>
        <v>0</v>
      </c>
      <c r="I73" s="64">
        <f t="shared" si="6"/>
        <v>107500</v>
      </c>
      <c r="J73" s="64">
        <f t="shared" si="6"/>
        <v>68765</v>
      </c>
      <c r="K73" s="64">
        <f t="shared" si="6"/>
        <v>36803.12</v>
      </c>
      <c r="L73" s="64">
        <f t="shared" si="6"/>
        <v>0</v>
      </c>
      <c r="M73" s="64">
        <f t="shared" si="6"/>
        <v>92600</v>
      </c>
      <c r="N73" s="64">
        <f t="shared" si="6"/>
        <v>71678.45999999999</v>
      </c>
      <c r="O73" s="64">
        <f t="shared" si="6"/>
        <v>30000</v>
      </c>
      <c r="P73" s="64">
        <f t="shared" si="6"/>
        <v>0</v>
      </c>
      <c r="Q73" s="64">
        <f t="shared" si="6"/>
        <v>110089.66</v>
      </c>
      <c r="R73" s="64">
        <f t="shared" si="6"/>
        <v>30675</v>
      </c>
      <c r="S73" s="64">
        <f t="shared" si="6"/>
        <v>17461.66</v>
      </c>
      <c r="T73" s="64">
        <f t="shared" si="6"/>
        <v>565572.9</v>
      </c>
      <c r="U73" s="59">
        <f>SUM(U32:U67)</f>
        <v>0</v>
      </c>
      <c r="V73" s="58" t="s">
        <v>89</v>
      </c>
    </row>
    <row r="74" spans="1:22" ht="12.75" hidden="1">
      <c r="A74" s="15"/>
      <c r="B74" s="15"/>
      <c r="C74" s="15"/>
      <c r="D74" s="15"/>
      <c r="E74" s="15"/>
      <c r="F74" s="16"/>
      <c r="G74" s="16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31"/>
      <c r="V74" s="44"/>
    </row>
    <row r="75" spans="1:22" ht="12.75" hidden="1">
      <c r="A75" s="15"/>
      <c r="B75" s="15"/>
      <c r="C75" s="15"/>
      <c r="D75" s="15"/>
      <c r="E75" s="15"/>
      <c r="F75" s="16"/>
      <c r="G75" s="16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31"/>
      <c r="V75" s="44"/>
    </row>
    <row r="76" spans="1:22" ht="12.75">
      <c r="A76" s="15"/>
      <c r="B76" s="15"/>
      <c r="C76" s="15"/>
      <c r="D76" s="15"/>
      <c r="E76" s="15"/>
      <c r="F76" s="16"/>
      <c r="G76" s="16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31" t="s">
        <v>89</v>
      </c>
      <c r="V76" s="15"/>
    </row>
    <row r="77" spans="1:22" s="74" customFormat="1" ht="12.75">
      <c r="A77" s="70"/>
      <c r="B77" s="71" t="s">
        <v>128</v>
      </c>
      <c r="C77" s="70"/>
      <c r="D77" s="70"/>
      <c r="E77" s="70"/>
      <c r="F77" s="153">
        <f>F61+F73+F43</f>
        <v>3340496</v>
      </c>
      <c r="G77" s="154"/>
      <c r="H77" s="70">
        <f aca="true" t="shared" si="7" ref="H77:S77">H43+H61+H73</f>
        <v>140857.55</v>
      </c>
      <c r="I77" s="70">
        <f t="shared" si="7"/>
        <v>235574.24</v>
      </c>
      <c r="J77" s="70">
        <f t="shared" si="7"/>
        <v>305204</v>
      </c>
      <c r="K77" s="70">
        <f t="shared" si="7"/>
        <v>143300.85</v>
      </c>
      <c r="L77" s="70">
        <f t="shared" si="7"/>
        <v>218365.82</v>
      </c>
      <c r="M77" s="70">
        <f t="shared" si="7"/>
        <v>330388.66</v>
      </c>
      <c r="N77" s="70">
        <f t="shared" si="7"/>
        <v>346852.25</v>
      </c>
      <c r="O77" s="70">
        <f t="shared" si="7"/>
        <v>180413.86000000002</v>
      </c>
      <c r="P77" s="70">
        <f t="shared" si="7"/>
        <v>122517.62</v>
      </c>
      <c r="Q77" s="70">
        <f t="shared" si="7"/>
        <v>403483.02</v>
      </c>
      <c r="R77" s="70">
        <f t="shared" si="7"/>
        <v>203167.64</v>
      </c>
      <c r="S77" s="70">
        <f t="shared" si="7"/>
        <v>281126.3599999999</v>
      </c>
      <c r="T77" s="72">
        <f>T61+T73+T43</f>
        <v>2892251.87</v>
      </c>
      <c r="U77" s="73"/>
      <c r="V77" s="70"/>
    </row>
    <row r="78" spans="1:20" ht="12.75" hidden="1">
      <c r="A78" s="15"/>
      <c r="B78" s="15"/>
      <c r="C78" s="15"/>
      <c r="D78" s="15"/>
      <c r="E78" s="15"/>
      <c r="F78" s="16"/>
      <c r="G78" s="16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31" t="s">
        <v>89</v>
      </c>
    </row>
    <row r="79" spans="1:20" ht="12.75">
      <c r="A79" s="15"/>
      <c r="B79" s="15"/>
      <c r="C79" s="15"/>
      <c r="D79" s="15"/>
      <c r="E79" s="15"/>
      <c r="F79" s="16"/>
      <c r="G79" s="16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31" t="s">
        <v>89</v>
      </c>
    </row>
    <row r="80" spans="1:20" ht="12.75" hidden="1">
      <c r="A80" s="15"/>
      <c r="B80" s="15" t="s">
        <v>62</v>
      </c>
      <c r="C80" s="15"/>
      <c r="D80" s="15"/>
      <c r="E80" s="15"/>
      <c r="F80" s="139" t="s">
        <v>57</v>
      </c>
      <c r="G80" s="140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31" t="s">
        <v>89</v>
      </c>
    </row>
    <row r="81" spans="1:20" ht="12.75" hidden="1">
      <c r="A81" s="15"/>
      <c r="B81" s="15"/>
      <c r="C81" s="15"/>
      <c r="D81" s="15"/>
      <c r="E81" s="15"/>
      <c r="F81" s="139" t="s">
        <v>63</v>
      </c>
      <c r="G81" s="140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31" t="s">
        <v>89</v>
      </c>
    </row>
    <row r="82" spans="1:22" ht="12.75">
      <c r="A82" s="28"/>
      <c r="B82" s="28"/>
      <c r="C82" s="28"/>
      <c r="D82" s="28"/>
      <c r="E82" s="28"/>
      <c r="F82" s="28"/>
      <c r="G82" s="28"/>
      <c r="H82" s="28">
        <f aca="true" t="shared" si="8" ref="H82:S82">H24-H73</f>
        <v>113585.28</v>
      </c>
      <c r="I82" s="28">
        <f t="shared" si="8"/>
        <v>8758.399999999994</v>
      </c>
      <c r="J82" s="28">
        <f t="shared" si="8"/>
        <v>91331.26000000001</v>
      </c>
      <c r="K82" s="28">
        <f t="shared" si="8"/>
        <v>104446.03</v>
      </c>
      <c r="L82" s="28">
        <f t="shared" si="8"/>
        <v>75400</v>
      </c>
      <c r="M82" s="28">
        <f t="shared" si="8"/>
        <v>18800</v>
      </c>
      <c r="N82" s="28">
        <f t="shared" si="8"/>
        <v>-26378.459999999992</v>
      </c>
      <c r="O82" s="28">
        <f t="shared" si="8"/>
        <v>80400</v>
      </c>
      <c r="P82" s="28">
        <f t="shared" si="8"/>
        <v>128500</v>
      </c>
      <c r="Q82" s="28">
        <f t="shared" si="8"/>
        <v>77808.66999999998</v>
      </c>
      <c r="R82" s="28">
        <f t="shared" si="8"/>
        <v>27365.68</v>
      </c>
      <c r="S82" s="28">
        <f t="shared" si="8"/>
        <v>2285364.96</v>
      </c>
      <c r="T82" s="31" t="s">
        <v>89</v>
      </c>
      <c r="U82" s="12"/>
      <c r="V82" s="10"/>
    </row>
    <row r="83" spans="2:20" ht="12.75" hidden="1">
      <c r="B83" t="s">
        <v>58</v>
      </c>
      <c r="E83" t="s">
        <v>59</v>
      </c>
      <c r="F83" s="8" t="s">
        <v>60</v>
      </c>
      <c r="T83" s="31" t="s">
        <v>89</v>
      </c>
    </row>
    <row r="84" ht="12.75">
      <c r="T84" s="31"/>
    </row>
    <row r="85" spans="2:20" ht="12.75" hidden="1">
      <c r="B85" t="s">
        <v>85</v>
      </c>
      <c r="T85" s="31">
        <f>H85+I85+J85+K85+L85+M85+N85+O85+P85+Q85+R85+S85</f>
        <v>0</v>
      </c>
    </row>
    <row r="86" spans="2:20" ht="12.75" hidden="1">
      <c r="B86" t="s">
        <v>94</v>
      </c>
      <c r="H86">
        <v>5300</v>
      </c>
      <c r="I86">
        <v>5300</v>
      </c>
      <c r="J86">
        <v>5300</v>
      </c>
      <c r="K86">
        <v>5300</v>
      </c>
      <c r="L86">
        <v>5300</v>
      </c>
      <c r="M86">
        <v>5300</v>
      </c>
      <c r="N86">
        <v>5300</v>
      </c>
      <c r="O86">
        <v>5300</v>
      </c>
      <c r="P86">
        <v>5300</v>
      </c>
      <c r="Q86">
        <v>5300</v>
      </c>
      <c r="R86">
        <v>5300</v>
      </c>
      <c r="S86">
        <v>5300</v>
      </c>
      <c r="T86" s="31">
        <f aca="true" t="shared" si="9" ref="T86:T93">H86+I86+J86+K86+L86+M86+N86+O86+P86+Q86+R86+S86</f>
        <v>63600</v>
      </c>
    </row>
    <row r="87" spans="2:20" ht="12.75" hidden="1">
      <c r="B87" t="s">
        <v>132</v>
      </c>
      <c r="K87">
        <v>60000</v>
      </c>
      <c r="T87" s="31">
        <f t="shared" si="9"/>
        <v>60000</v>
      </c>
    </row>
    <row r="88" spans="2:20" ht="12.75" hidden="1">
      <c r="B88" t="s">
        <v>75</v>
      </c>
      <c r="H88" s="3"/>
      <c r="I88" s="3">
        <v>1000</v>
      </c>
      <c r="L88" s="3"/>
      <c r="N88" s="3"/>
      <c r="Q88" s="3">
        <f>2000+4500</f>
        <v>6500</v>
      </c>
      <c r="T88" s="31">
        <f t="shared" si="9"/>
        <v>7500</v>
      </c>
    </row>
    <row r="89" spans="2:20" ht="12.75" hidden="1">
      <c r="B89" t="s">
        <v>77</v>
      </c>
      <c r="H89" s="3">
        <f>11070.44+2912.84+58445.34+58.5</f>
        <v>72487.12</v>
      </c>
      <c r="I89" s="3">
        <v>71964.54</v>
      </c>
      <c r="J89" s="3">
        <v>70446.55</v>
      </c>
      <c r="K89" s="3">
        <v>66757.93</v>
      </c>
      <c r="L89" s="3">
        <v>51949.84</v>
      </c>
      <c r="M89" s="3">
        <v>63135.11</v>
      </c>
      <c r="N89" s="3">
        <v>63172.35</v>
      </c>
      <c r="O89" s="3">
        <v>61272.52</v>
      </c>
      <c r="P89" s="3">
        <v>56584.62</v>
      </c>
      <c r="Q89" s="3">
        <v>60386.09</v>
      </c>
      <c r="R89" s="3">
        <v>62606.71</v>
      </c>
      <c r="S89" s="3">
        <v>55094.52</v>
      </c>
      <c r="T89" s="31">
        <f t="shared" si="9"/>
        <v>755857.8999999999</v>
      </c>
    </row>
    <row r="90" spans="2:20" ht="12.75" hidden="1">
      <c r="B90" t="s">
        <v>78</v>
      </c>
      <c r="H90" s="3">
        <v>485003.1</v>
      </c>
      <c r="I90" s="3">
        <v>600650.9</v>
      </c>
      <c r="J90" s="3">
        <v>524377.85</v>
      </c>
      <c r="K90" s="3">
        <v>448868.58</v>
      </c>
      <c r="L90" s="43">
        <v>366945.72</v>
      </c>
      <c r="M90" s="3">
        <v>162652.61</v>
      </c>
      <c r="N90" s="3">
        <v>112153.37</v>
      </c>
      <c r="O90" s="3">
        <v>51234.43</v>
      </c>
      <c r="P90" s="3">
        <v>122412.42</v>
      </c>
      <c r="Q90" s="3">
        <v>127600.15</v>
      </c>
      <c r="R90" s="43">
        <v>355703.03</v>
      </c>
      <c r="S90" s="43">
        <v>364898.26</v>
      </c>
      <c r="T90" s="31">
        <f t="shared" si="9"/>
        <v>3722500.42</v>
      </c>
    </row>
    <row r="91" spans="2:20" ht="12.75" hidden="1">
      <c r="B91" t="s">
        <v>79</v>
      </c>
      <c r="H91">
        <v>9560.36</v>
      </c>
      <c r="I91" s="3">
        <v>9560.36</v>
      </c>
      <c r="J91" s="3">
        <f>623.52+9132.29</f>
        <v>9755.810000000001</v>
      </c>
      <c r="K91" s="3">
        <v>10675.34</v>
      </c>
      <c r="L91" s="3">
        <v>10473.82</v>
      </c>
      <c r="M91" s="3">
        <v>10097.36</v>
      </c>
      <c r="N91" s="3">
        <v>35117.39</v>
      </c>
      <c r="O91" s="3">
        <v>12344.45</v>
      </c>
      <c r="P91" s="3">
        <v>12128.43</v>
      </c>
      <c r="Q91" s="3">
        <f>10955.39+11499.58</f>
        <v>22454.97</v>
      </c>
      <c r="R91" s="3"/>
      <c r="S91" s="3">
        <f>12057.73+12057.73+1423.74</f>
        <v>25539.2</v>
      </c>
      <c r="T91" s="31">
        <f t="shared" si="9"/>
        <v>167707.49000000002</v>
      </c>
    </row>
    <row r="92" spans="2:20" ht="12.75" hidden="1">
      <c r="B92" t="s">
        <v>80</v>
      </c>
      <c r="R92" s="3"/>
      <c r="T92" s="31">
        <f t="shared" si="9"/>
        <v>0</v>
      </c>
    </row>
    <row r="93" spans="2:20" ht="12.75" hidden="1">
      <c r="B93" t="s">
        <v>81</v>
      </c>
      <c r="H93" s="3"/>
      <c r="J93" s="3"/>
      <c r="K93">
        <v>13800</v>
      </c>
      <c r="M93" s="3">
        <v>13800</v>
      </c>
      <c r="N93" s="3"/>
      <c r="Q93" s="3">
        <v>13800</v>
      </c>
      <c r="S93" s="3">
        <v>13800</v>
      </c>
      <c r="T93" s="31">
        <f t="shared" si="9"/>
        <v>55200</v>
      </c>
    </row>
    <row r="94" spans="2:20" ht="12.75" hidden="1">
      <c r="B94" t="s">
        <v>131</v>
      </c>
      <c r="K94" s="3"/>
      <c r="T94" s="31"/>
    </row>
    <row r="95" spans="2:20" ht="12.75" hidden="1">
      <c r="B95" t="s">
        <v>84</v>
      </c>
      <c r="M95" s="3"/>
      <c r="T95" s="31"/>
    </row>
    <row r="96" spans="2:19" ht="12.75" hidden="1">
      <c r="B96" t="s">
        <v>100</v>
      </c>
      <c r="H96" s="9"/>
      <c r="I96" s="9"/>
      <c r="J96" s="9"/>
      <c r="K96" s="9"/>
      <c r="R96" s="3"/>
      <c r="S96" s="3"/>
    </row>
    <row r="97" ht="12.75" hidden="1">
      <c r="B97" t="s">
        <v>82</v>
      </c>
    </row>
    <row r="98" spans="2:21" s="3" customFormat="1" ht="12.75" hidden="1">
      <c r="B98" s="3" t="s">
        <v>163</v>
      </c>
      <c r="F98" s="56"/>
      <c r="G98" s="56"/>
      <c r="H98" s="56"/>
      <c r="I98" s="57">
        <v>-4000</v>
      </c>
      <c r="J98" s="56"/>
      <c r="K98" s="57"/>
      <c r="L98" s="57"/>
      <c r="M98" s="57"/>
      <c r="N98" s="57"/>
      <c r="O98" s="57"/>
      <c r="P98" s="57"/>
      <c r="Q98" s="57"/>
      <c r="R98" s="57"/>
      <c r="S98" s="57"/>
      <c r="T98" s="31">
        <f>H98+I98+J98+K98+L98+M98+N98+O98+P98+Q98+R98+S98</f>
        <v>-4000</v>
      </c>
      <c r="U98" s="56"/>
    </row>
    <row r="99" ht="12.75" hidden="1">
      <c r="B99" s="14" t="s">
        <v>91</v>
      </c>
    </row>
    <row r="100" ht="12.75" hidden="1">
      <c r="B100" s="14" t="s">
        <v>92</v>
      </c>
    </row>
    <row r="101" ht="12.75" hidden="1">
      <c r="B101" t="s">
        <v>93</v>
      </c>
    </row>
    <row r="102" ht="12.75" hidden="1">
      <c r="B102" t="s">
        <v>94</v>
      </c>
    </row>
    <row r="103" ht="12.75" hidden="1">
      <c r="B103" t="s">
        <v>95</v>
      </c>
    </row>
    <row r="104" ht="12.75" hidden="1">
      <c r="B104" t="s">
        <v>81</v>
      </c>
    </row>
    <row r="105" ht="12.75" hidden="1">
      <c r="B105" t="s">
        <v>96</v>
      </c>
    </row>
    <row r="106" ht="12.75" hidden="1">
      <c r="B106" t="s">
        <v>97</v>
      </c>
    </row>
    <row r="107" spans="2:10" ht="12.75" hidden="1">
      <c r="B107" t="s">
        <v>98</v>
      </c>
      <c r="J107" s="4"/>
    </row>
    <row r="108" ht="12.75" hidden="1">
      <c r="B108" t="s">
        <v>99</v>
      </c>
    </row>
    <row r="109" ht="12.75" hidden="1"/>
    <row r="110" ht="12.75" hidden="1"/>
    <row r="111" ht="12.75" hidden="1"/>
    <row r="112" spans="6:21" s="74" customFormat="1" ht="12.75" hidden="1">
      <c r="F112" s="73"/>
      <c r="G112" s="73"/>
      <c r="H112" s="74">
        <f aca="true" t="shared" si="10" ref="H112:N112">SUM(H85:H111)+H77</f>
        <v>713208.1299999999</v>
      </c>
      <c r="I112" s="74">
        <f t="shared" si="10"/>
        <v>920050.04</v>
      </c>
      <c r="J112" s="74">
        <f t="shared" si="10"/>
        <v>915084.2100000001</v>
      </c>
      <c r="K112" s="74">
        <f t="shared" si="10"/>
        <v>748702.7</v>
      </c>
      <c r="L112" s="74">
        <f t="shared" si="10"/>
        <v>653035.2</v>
      </c>
      <c r="M112" s="74">
        <f t="shared" si="10"/>
        <v>585373.74</v>
      </c>
      <c r="N112" s="74">
        <f t="shared" si="10"/>
        <v>562595.36</v>
      </c>
      <c r="O112" s="74">
        <f aca="true" t="shared" si="11" ref="O112:T112">SUM(O85:O111)+O77</f>
        <v>310565.26</v>
      </c>
      <c r="P112" s="74">
        <f t="shared" si="11"/>
        <v>318943.08999999997</v>
      </c>
      <c r="Q112" s="74">
        <f t="shared" si="11"/>
        <v>639524.23</v>
      </c>
      <c r="R112" s="74">
        <f t="shared" si="11"/>
        <v>626777.38</v>
      </c>
      <c r="S112" s="74">
        <f t="shared" si="11"/>
        <v>745758.34</v>
      </c>
      <c r="T112" s="74">
        <f t="shared" si="11"/>
        <v>7720617.680000001</v>
      </c>
      <c r="U112" s="73"/>
    </row>
    <row r="113" ht="12.75" hidden="1"/>
    <row r="114" spans="2:19" s="75" customFormat="1" ht="12.75" hidden="1">
      <c r="B114" s="75" t="s">
        <v>160</v>
      </c>
      <c r="H114" s="75">
        <v>619624.13</v>
      </c>
      <c r="I114" s="75">
        <v>831256.98</v>
      </c>
      <c r="J114" s="75">
        <v>813796.21</v>
      </c>
      <c r="K114" s="76">
        <v>624173.64</v>
      </c>
      <c r="L114" s="76">
        <v>529086.2</v>
      </c>
      <c r="M114" s="76">
        <v>471620.74</v>
      </c>
      <c r="N114" s="76">
        <v>465561.36</v>
      </c>
      <c r="O114" s="76">
        <v>217519.77</v>
      </c>
      <c r="P114" s="76">
        <v>225471.09</v>
      </c>
      <c r="Q114" s="76">
        <v>504701.23</v>
      </c>
      <c r="R114" s="76">
        <v>525077.18</v>
      </c>
      <c r="S114" s="76">
        <v>645386.36</v>
      </c>
    </row>
    <row r="115" spans="2:19" s="77" customFormat="1" ht="12.75" hidden="1">
      <c r="B115" s="77" t="s">
        <v>161</v>
      </c>
      <c r="H115" s="77">
        <v>85403</v>
      </c>
      <c r="I115" s="77">
        <v>85406</v>
      </c>
      <c r="J115" s="77">
        <v>94188</v>
      </c>
      <c r="K115" s="77">
        <v>117927</v>
      </c>
      <c r="L115" s="77">
        <v>108212</v>
      </c>
      <c r="M115" s="77">
        <v>100669</v>
      </c>
      <c r="N115" s="77">
        <v>90394</v>
      </c>
      <c r="O115" s="77">
        <v>93045.49</v>
      </c>
      <c r="P115" s="77">
        <v>93472</v>
      </c>
      <c r="Q115" s="77">
        <v>104636</v>
      </c>
      <c r="R115" s="77">
        <v>95201.2</v>
      </c>
      <c r="S115" s="77">
        <v>93137</v>
      </c>
    </row>
    <row r="116" spans="2:19" s="9" customFormat="1" ht="12.75" hidden="1">
      <c r="B116" s="9" t="s">
        <v>162</v>
      </c>
      <c r="H116" s="9">
        <v>8181</v>
      </c>
      <c r="I116" s="9">
        <v>7387.06</v>
      </c>
      <c r="J116" s="9">
        <v>7100</v>
      </c>
      <c r="K116" s="9">
        <v>6602.06</v>
      </c>
      <c r="L116" s="9">
        <v>15737</v>
      </c>
      <c r="M116" s="9">
        <v>13084</v>
      </c>
      <c r="N116" s="9">
        <v>6640</v>
      </c>
      <c r="Q116" s="9">
        <v>30187</v>
      </c>
      <c r="R116" s="9">
        <v>6499</v>
      </c>
      <c r="S116" s="9">
        <v>5934.88</v>
      </c>
    </row>
    <row r="117" ht="12.75" hidden="1"/>
    <row r="118" spans="8:19" s="78" customFormat="1" ht="12.75" hidden="1">
      <c r="H118" s="78">
        <f aca="true" t="shared" si="12" ref="H118:P118">SUM(H114:H117)</f>
        <v>713208.13</v>
      </c>
      <c r="I118" s="78">
        <f t="shared" si="12"/>
        <v>924050.04</v>
      </c>
      <c r="J118" s="78">
        <f t="shared" si="12"/>
        <v>915084.21</v>
      </c>
      <c r="K118" s="79">
        <f t="shared" si="12"/>
        <v>748702.7000000001</v>
      </c>
      <c r="L118" s="79">
        <f t="shared" si="12"/>
        <v>653035.2</v>
      </c>
      <c r="M118" s="79">
        <f t="shared" si="12"/>
        <v>585373.74</v>
      </c>
      <c r="N118" s="79">
        <f t="shared" si="12"/>
        <v>562595.36</v>
      </c>
      <c r="O118" s="79">
        <f t="shared" si="12"/>
        <v>310565.26</v>
      </c>
      <c r="P118" s="79">
        <f t="shared" si="12"/>
        <v>318943.08999999997</v>
      </c>
      <c r="Q118" s="79">
        <f>SUM(Q114:Q117)</f>
        <v>639524.23</v>
      </c>
      <c r="R118" s="79">
        <f>SUM(R114:R117)</f>
        <v>626777.38</v>
      </c>
      <c r="S118" s="79">
        <f>SUM(S114:S117)</f>
        <v>744458.24</v>
      </c>
    </row>
    <row r="120" spans="5:7" ht="12.75">
      <c r="E120" s="16" t="s">
        <v>171</v>
      </c>
      <c r="F120" s="115" t="s">
        <v>172</v>
      </c>
      <c r="G120" s="118"/>
    </row>
    <row r="121" spans="2:7" ht="12.75">
      <c r="B121" s="145" t="s">
        <v>169</v>
      </c>
      <c r="C121" s="163"/>
      <c r="D121" s="81"/>
      <c r="E121" s="16">
        <v>66015.65</v>
      </c>
      <c r="F121" s="115">
        <v>9508.62</v>
      </c>
      <c r="G121" s="118"/>
    </row>
    <row r="122" spans="2:7" ht="12.75">
      <c r="B122" s="145" t="s">
        <v>170</v>
      </c>
      <c r="C122" s="163"/>
      <c r="D122" s="81"/>
      <c r="E122" s="16">
        <v>1538937.39</v>
      </c>
      <c r="F122" s="115">
        <v>1645001.3</v>
      </c>
      <c r="G122" s="118"/>
    </row>
    <row r="125" spans="2:21" ht="12.75">
      <c r="B125" s="164" t="s">
        <v>173</v>
      </c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</row>
    <row r="127" spans="4:20" ht="27" customHeight="1">
      <c r="D127" s="83" t="s">
        <v>179</v>
      </c>
      <c r="E127" s="82" t="s">
        <v>180</v>
      </c>
      <c r="F127" s="84" t="s">
        <v>178</v>
      </c>
      <c r="G127" s="142" t="s">
        <v>181</v>
      </c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34"/>
    </row>
    <row r="128" spans="2:20" ht="12.75">
      <c r="B128" s="145" t="s">
        <v>174</v>
      </c>
      <c r="C128" s="141"/>
      <c r="D128" s="16">
        <v>337799.87</v>
      </c>
      <c r="E128" s="16">
        <v>329397.43</v>
      </c>
      <c r="F128" s="80">
        <v>287092.7</v>
      </c>
      <c r="G128" s="144">
        <f>E128-F128</f>
        <v>42304.72999999998</v>
      </c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34"/>
    </row>
    <row r="129" spans="2:5" ht="12.75">
      <c r="B129" s="8"/>
      <c r="C129" s="8"/>
      <c r="D129" s="8"/>
      <c r="E129" s="8"/>
    </row>
    <row r="130" spans="2:20" ht="12.75">
      <c r="B130" s="145" t="s">
        <v>175</v>
      </c>
      <c r="C130" s="141"/>
      <c r="D130" s="16">
        <v>499791.13</v>
      </c>
      <c r="E130" s="16">
        <v>487212.45</v>
      </c>
      <c r="F130" s="80">
        <v>449985.13</v>
      </c>
      <c r="G130" s="144">
        <f>E130-F130</f>
        <v>37227.32000000001</v>
      </c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34"/>
    </row>
    <row r="131" spans="2:5" ht="12.75">
      <c r="B131" s="8"/>
      <c r="C131" s="8"/>
      <c r="D131" s="8"/>
      <c r="E131" s="8"/>
    </row>
    <row r="132" spans="2:20" ht="12.75">
      <c r="B132" s="145" t="s">
        <v>176</v>
      </c>
      <c r="C132" s="141"/>
      <c r="D132" s="16">
        <v>988989.1</v>
      </c>
      <c r="E132" s="16">
        <v>948074.71</v>
      </c>
      <c r="F132" s="80">
        <v>1096321.1</v>
      </c>
      <c r="G132" s="144">
        <f>E132-F132</f>
        <v>-148246.39000000013</v>
      </c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34"/>
    </row>
    <row r="133" spans="2:5" ht="12.75">
      <c r="B133" s="8"/>
      <c r="C133" s="8"/>
      <c r="D133" s="8"/>
      <c r="E133" s="8"/>
    </row>
    <row r="134" spans="2:20" ht="12.75">
      <c r="B134" s="145" t="s">
        <v>177</v>
      </c>
      <c r="C134" s="141"/>
      <c r="D134" s="16">
        <v>2333990.3</v>
      </c>
      <c r="E134" s="16">
        <v>2206482.13</v>
      </c>
      <c r="F134" s="80">
        <v>2539074.3</v>
      </c>
      <c r="G134" s="144">
        <f>E134-F134</f>
        <v>-332592.1699999999</v>
      </c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34"/>
    </row>
    <row r="135" spans="2:20" ht="12.75">
      <c r="B135" s="145" t="s">
        <v>182</v>
      </c>
      <c r="C135" s="141"/>
      <c r="D135" s="16">
        <f>SUM(D128:D134)</f>
        <v>4160570.4</v>
      </c>
      <c r="E135" s="16">
        <f>SUM(E128:E134)</f>
        <v>3971166.7199999997</v>
      </c>
      <c r="F135" s="16">
        <f>SUM(F128:F134)</f>
        <v>4372473.23</v>
      </c>
      <c r="G135" s="145">
        <f>SUM(G128:G134)</f>
        <v>-401306.51000000007</v>
      </c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34"/>
    </row>
    <row r="138" spans="2:20" ht="12.75">
      <c r="B138" s="15" t="s">
        <v>62</v>
      </c>
      <c r="C138" s="15"/>
      <c r="D138" s="15"/>
      <c r="E138" s="15"/>
      <c r="F138" s="139" t="s">
        <v>57</v>
      </c>
      <c r="G138" s="140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31" t="s">
        <v>89</v>
      </c>
    </row>
    <row r="139" spans="2:20" ht="12.75">
      <c r="B139" s="15"/>
      <c r="C139" s="15"/>
      <c r="D139" s="15"/>
      <c r="E139" s="15"/>
      <c r="F139" s="139" t="s">
        <v>63</v>
      </c>
      <c r="G139" s="140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31" t="s">
        <v>89</v>
      </c>
    </row>
    <row r="141" spans="2:20" ht="12.75">
      <c r="B141" t="s">
        <v>58</v>
      </c>
      <c r="E141" t="s">
        <v>59</v>
      </c>
      <c r="F141" s="8" t="s">
        <v>60</v>
      </c>
      <c r="T141" s="31" t="s">
        <v>89</v>
      </c>
    </row>
  </sheetData>
  <sheetProtection/>
  <mergeCells count="106">
    <mergeCell ref="B135:C135"/>
    <mergeCell ref="B125:U125"/>
    <mergeCell ref="B128:C128"/>
    <mergeCell ref="B130:C130"/>
    <mergeCell ref="B132:C132"/>
    <mergeCell ref="B121:C121"/>
    <mergeCell ref="B122:C122"/>
    <mergeCell ref="B56:E56"/>
    <mergeCell ref="B57:E57"/>
    <mergeCell ref="B58:E58"/>
    <mergeCell ref="F66:G66"/>
    <mergeCell ref="F67:G67"/>
    <mergeCell ref="F68:G68"/>
    <mergeCell ref="F43:G43"/>
    <mergeCell ref="F55:G55"/>
    <mergeCell ref="F56:G56"/>
    <mergeCell ref="F57:G57"/>
    <mergeCell ref="F58:G58"/>
    <mergeCell ref="B45:E45"/>
    <mergeCell ref="F45:G45"/>
    <mergeCell ref="B48:E48"/>
    <mergeCell ref="F48:G48"/>
    <mergeCell ref="B49:E49"/>
    <mergeCell ref="A2:W2"/>
    <mergeCell ref="B28:V28"/>
    <mergeCell ref="B31:E31"/>
    <mergeCell ref="B53:E53"/>
    <mergeCell ref="B55:E55"/>
    <mergeCell ref="B32:E32"/>
    <mergeCell ref="F32:G32"/>
    <mergeCell ref="F33:G33"/>
    <mergeCell ref="B34:E34"/>
    <mergeCell ref="F34:G34"/>
    <mergeCell ref="A13:K13"/>
    <mergeCell ref="A15:C15"/>
    <mergeCell ref="B17:E17"/>
    <mergeCell ref="F17:G17"/>
    <mergeCell ref="A3:V3"/>
    <mergeCell ref="A12:J12"/>
    <mergeCell ref="A9:X9"/>
    <mergeCell ref="B21:E21"/>
    <mergeCell ref="F21:G21"/>
    <mergeCell ref="B22:E22"/>
    <mergeCell ref="F22:G22"/>
    <mergeCell ref="B18:E18"/>
    <mergeCell ref="F18:G18"/>
    <mergeCell ref="B19:E19"/>
    <mergeCell ref="F19:G19"/>
    <mergeCell ref="F35:G35"/>
    <mergeCell ref="B36:E36"/>
    <mergeCell ref="F36:G36"/>
    <mergeCell ref="B37:E37"/>
    <mergeCell ref="F37:G37"/>
    <mergeCell ref="F23:G23"/>
    <mergeCell ref="B24:E24"/>
    <mergeCell ref="F24:G24"/>
    <mergeCell ref="A26:C26"/>
    <mergeCell ref="B35:E35"/>
    <mergeCell ref="B40:E40"/>
    <mergeCell ref="F40:G40"/>
    <mergeCell ref="B41:E41"/>
    <mergeCell ref="F41:G41"/>
    <mergeCell ref="B38:E38"/>
    <mergeCell ref="F38:G38"/>
    <mergeCell ref="B39:E39"/>
    <mergeCell ref="F39:G39"/>
    <mergeCell ref="F49:G49"/>
    <mergeCell ref="B46:E46"/>
    <mergeCell ref="F46:G46"/>
    <mergeCell ref="B47:E47"/>
    <mergeCell ref="F47:G47"/>
    <mergeCell ref="B52:E52"/>
    <mergeCell ref="F52:G52"/>
    <mergeCell ref="F53:G53"/>
    <mergeCell ref="F54:G54"/>
    <mergeCell ref="B50:E50"/>
    <mergeCell ref="F50:G50"/>
    <mergeCell ref="B51:E51"/>
    <mergeCell ref="F51:G51"/>
    <mergeCell ref="F69:G69"/>
    <mergeCell ref="B61:E61"/>
    <mergeCell ref="F61:G61"/>
    <mergeCell ref="F64:G64"/>
    <mergeCell ref="F65:G65"/>
    <mergeCell ref="F81:G81"/>
    <mergeCell ref="B73:E73"/>
    <mergeCell ref="F73:G73"/>
    <mergeCell ref="F77:G77"/>
    <mergeCell ref="F80:G80"/>
    <mergeCell ref="F70:G70"/>
    <mergeCell ref="B71:E71"/>
    <mergeCell ref="F71:G71"/>
    <mergeCell ref="B72:E72"/>
    <mergeCell ref="F72:G72"/>
    <mergeCell ref="F138:G138"/>
    <mergeCell ref="F120:G120"/>
    <mergeCell ref="F121:G121"/>
    <mergeCell ref="F122:G122"/>
    <mergeCell ref="B134:C134"/>
    <mergeCell ref="F139:G139"/>
    <mergeCell ref="G127:T127"/>
    <mergeCell ref="G128:T128"/>
    <mergeCell ref="G130:T130"/>
    <mergeCell ref="G134:T134"/>
    <mergeCell ref="G132:T132"/>
    <mergeCell ref="G135:T1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189"/>
  <sheetViews>
    <sheetView zoomScalePageLayoutView="0" workbookViewId="0" topLeftCell="A2">
      <selection activeCell="A4" sqref="A1:T16384"/>
    </sheetView>
  </sheetViews>
  <sheetFormatPr defaultColWidth="9.00390625" defaultRowHeight="12.75"/>
  <cols>
    <col min="1" max="1" width="9.875" style="0" customWidth="1"/>
    <col min="2" max="2" width="7.25390625" style="0" customWidth="1"/>
    <col min="3" max="3" width="9.625" style="0" customWidth="1"/>
    <col min="4" max="4" width="10.50390625" style="0" customWidth="1"/>
    <col min="5" max="5" width="15.875" style="0" customWidth="1"/>
    <col min="6" max="6" width="9.50390625" style="8" bestFit="1" customWidth="1"/>
    <col min="7" max="7" width="5.25390625" style="8" customWidth="1"/>
    <col min="8" max="8" width="12.125" style="0" hidden="1" customWidth="1"/>
    <col min="9" max="9" width="10.50390625" style="0" hidden="1" customWidth="1"/>
    <col min="10" max="10" width="10.625" style="0" hidden="1" customWidth="1"/>
    <col min="11" max="11" width="10.00390625" style="0" hidden="1" customWidth="1"/>
    <col min="12" max="12" width="11.125" style="0" hidden="1" customWidth="1"/>
    <col min="13" max="14" width="10.50390625" style="0" hidden="1" customWidth="1"/>
    <col min="15" max="15" width="10.25390625" style="0" hidden="1" customWidth="1"/>
    <col min="16" max="16" width="10.50390625" style="0" hidden="1" customWidth="1"/>
    <col min="17" max="17" width="10.875" style="0" hidden="1" customWidth="1"/>
    <col min="18" max="19" width="11.25390625" style="0" hidden="1" customWidth="1"/>
    <col min="20" max="20" width="12.50390625" style="11" customWidth="1"/>
    <col min="21" max="21" width="10.625" style="13" hidden="1" customWidth="1"/>
    <col min="22" max="22" width="11.875" style="0" hidden="1" customWidth="1"/>
    <col min="23" max="23" width="8.875" style="0" hidden="1" customWidth="1"/>
    <col min="24" max="27" width="10.50390625" style="0" hidden="1" customWidth="1"/>
    <col min="28" max="31" width="0" style="0" hidden="1" customWidth="1"/>
  </cols>
  <sheetData>
    <row r="1" ht="12.75" hidden="1"/>
    <row r="2" spans="1:23" ht="21">
      <c r="A2" s="197" t="s">
        <v>164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</row>
    <row r="3" spans="1:22" ht="24">
      <c r="A3" s="159" t="s">
        <v>165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ht="12.75">
      <c r="S4">
        <v>0</v>
      </c>
    </row>
    <row r="5" spans="1:6" ht="12.75">
      <c r="A5" t="s">
        <v>31</v>
      </c>
      <c r="F5" s="8" t="s">
        <v>32</v>
      </c>
    </row>
    <row r="6" spans="1:6" ht="12.75">
      <c r="A6" t="s">
        <v>158</v>
      </c>
      <c r="F6" s="8" t="s">
        <v>34</v>
      </c>
    </row>
    <row r="7" spans="1:6" ht="12.75">
      <c r="A7" t="s">
        <v>40</v>
      </c>
      <c r="F7" s="8" t="s">
        <v>35</v>
      </c>
    </row>
    <row r="8" ht="12.75">
      <c r="F8" s="8" t="s">
        <v>36</v>
      </c>
    </row>
    <row r="9" spans="1:29" ht="12.75">
      <c r="A9" s="135" t="s">
        <v>129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</row>
    <row r="10" ht="12.75">
      <c r="A10" s="6" t="s">
        <v>39</v>
      </c>
    </row>
    <row r="11" ht="12.75" hidden="1"/>
    <row r="12" spans="1:10" ht="21">
      <c r="A12" s="120" t="s">
        <v>0</v>
      </c>
      <c r="B12" s="120"/>
      <c r="C12" s="120"/>
      <c r="D12" s="120"/>
      <c r="E12" s="120"/>
      <c r="F12" s="120"/>
      <c r="G12" s="120"/>
      <c r="H12" s="120"/>
      <c r="I12" s="120"/>
      <c r="J12" s="120"/>
    </row>
    <row r="13" spans="1:11" ht="15">
      <c r="A13" s="121" t="s">
        <v>183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</row>
    <row r="14" ht="12.75">
      <c r="J14" s="3"/>
    </row>
    <row r="15" spans="1:20" ht="17.25">
      <c r="A15" s="119" t="s">
        <v>2</v>
      </c>
      <c r="B15" s="119"/>
      <c r="C15" s="119"/>
      <c r="D15" s="15"/>
      <c r="E15" s="15"/>
      <c r="F15" s="201" t="s">
        <v>105</v>
      </c>
      <c r="G15" s="202"/>
      <c r="H15" s="15" t="s">
        <v>65</v>
      </c>
      <c r="I15" s="15" t="s">
        <v>66</v>
      </c>
      <c r="J15" s="17" t="s">
        <v>67</v>
      </c>
      <c r="K15" s="15" t="s">
        <v>68</v>
      </c>
      <c r="L15" s="15" t="s">
        <v>69</v>
      </c>
      <c r="M15" s="15" t="s">
        <v>70</v>
      </c>
      <c r="N15" s="15" t="s">
        <v>72</v>
      </c>
      <c r="O15" s="15" t="s">
        <v>73</v>
      </c>
      <c r="P15" s="15" t="s">
        <v>74</v>
      </c>
      <c r="Q15" s="15" t="s">
        <v>86</v>
      </c>
      <c r="R15" s="15" t="s">
        <v>87</v>
      </c>
      <c r="S15" s="15" t="s">
        <v>88</v>
      </c>
      <c r="T15" s="18" t="s">
        <v>106</v>
      </c>
    </row>
    <row r="16" spans="1:27" ht="12.75">
      <c r="A16" s="15"/>
      <c r="B16" s="15"/>
      <c r="C16" s="15"/>
      <c r="D16" s="15"/>
      <c r="E16" s="15"/>
      <c r="F16" s="16"/>
      <c r="G16" s="16"/>
      <c r="H16" s="15"/>
      <c r="I16" s="15"/>
      <c r="J16" s="17"/>
      <c r="K16" s="15"/>
      <c r="L16" s="15"/>
      <c r="M16" s="15"/>
      <c r="N16" s="15"/>
      <c r="O16" s="15"/>
      <c r="P16" s="15"/>
      <c r="Q16" s="15"/>
      <c r="R16" s="15"/>
      <c r="S16" s="15"/>
      <c r="T16" s="18"/>
      <c r="X16" t="s">
        <v>166</v>
      </c>
      <c r="Y16" t="s">
        <v>167</v>
      </c>
      <c r="Z16" t="s">
        <v>168</v>
      </c>
      <c r="AA16" t="s">
        <v>9</v>
      </c>
    </row>
    <row r="17" spans="1:26" ht="12.75">
      <c r="A17" s="15">
        <v>1</v>
      </c>
      <c r="B17" s="118" t="s">
        <v>3</v>
      </c>
      <c r="C17" s="118"/>
      <c r="D17" s="118"/>
      <c r="E17" s="118"/>
      <c r="F17" s="113">
        <v>1624100</v>
      </c>
      <c r="G17" s="113"/>
      <c r="H17" s="15">
        <f>2500+65000+3600+5700+11600+22000+12000</f>
        <v>122400</v>
      </c>
      <c r="I17" s="15">
        <f>2500+22000+5700+65000+3600+11600+12000</f>
        <v>122400</v>
      </c>
      <c r="J17" s="17">
        <f>2500+65000+5700+22000+3600+11600+12000</f>
        <v>122400</v>
      </c>
      <c r="K17" s="15">
        <f>2500+15000+5700+65000+22000+3600+11600+65000+12000</f>
        <v>202400</v>
      </c>
      <c r="L17" s="15">
        <f>5700+3600+22000+11600+12000</f>
        <v>54900</v>
      </c>
      <c r="M17" s="15">
        <f>15000+2500+15000+65000+3600+5700+7000+11600+15000</f>
        <v>140400</v>
      </c>
      <c r="N17" s="15">
        <f>69000+12000+23500+6200+5500+12500+6200</f>
        <v>134900</v>
      </c>
      <c r="O17" s="44">
        <f>15000+69000+12000+12500+23500+5500+69000+9000+6200</f>
        <v>221700</v>
      </c>
      <c r="P17" s="44">
        <f>15000+23500+5500+9000+12500</f>
        <v>65500</v>
      </c>
      <c r="Q17" s="44">
        <f>69000+15000+23500+5500+6200+9000+12500+15000</f>
        <v>155700</v>
      </c>
      <c r="R17" s="15">
        <f>6200+5500+23500+69000+12500+12000</f>
        <v>128700</v>
      </c>
      <c r="S17" s="15">
        <f>15000+69000+23500+6200+5500+12000+12500</f>
        <v>143700</v>
      </c>
      <c r="T17" s="31">
        <f>H17+I17+J17+K17+L17+M17+N17+O17+P17+Q17+R17+S17</f>
        <v>1615100</v>
      </c>
      <c r="U17" s="36"/>
      <c r="V17" s="44"/>
      <c r="X17" s="4">
        <v>1615100</v>
      </c>
      <c r="Y17" s="4">
        <v>2141763.65</v>
      </c>
      <c r="Z17" s="4">
        <f>X17+Y17</f>
        <v>3756863.65</v>
      </c>
    </row>
    <row r="18" spans="1:26" ht="12.75">
      <c r="A18" s="15">
        <v>2</v>
      </c>
      <c r="B18" s="19" t="s">
        <v>191</v>
      </c>
      <c r="C18" s="19"/>
      <c r="D18" s="19"/>
      <c r="E18" s="19"/>
      <c r="F18" s="133">
        <v>26000</v>
      </c>
      <c r="G18" s="200"/>
      <c r="H18" s="15">
        <f>802+280</f>
        <v>1082</v>
      </c>
      <c r="I18" s="15">
        <f>641+280</f>
        <v>921</v>
      </c>
      <c r="J18" s="17">
        <f>600+160</f>
        <v>760</v>
      </c>
      <c r="K18" s="15">
        <f>520+160</f>
        <v>680</v>
      </c>
      <c r="L18" s="15">
        <f>640+281</f>
        <v>921</v>
      </c>
      <c r="M18" s="15">
        <f>682</f>
        <v>682</v>
      </c>
      <c r="N18" s="15">
        <f>561+561+240+4800+762</f>
        <v>6924</v>
      </c>
      <c r="O18" s="44">
        <f>280+585+502+350</f>
        <v>1717</v>
      </c>
      <c r="P18" s="44">
        <f>627+250+600</f>
        <v>1477</v>
      </c>
      <c r="Q18" s="44">
        <f>627+700+400</f>
        <v>1727</v>
      </c>
      <c r="R18" s="15">
        <f>668+627+350</f>
        <v>1645</v>
      </c>
      <c r="S18" s="15">
        <f>400+669+669+4800</f>
        <v>6538</v>
      </c>
      <c r="T18" s="31">
        <f>H18+I18+J18+K18+L18+M18+N18+O18+P18+Q18+R18+S18</f>
        <v>25074</v>
      </c>
      <c r="U18" s="36"/>
      <c r="V18" s="44"/>
      <c r="X18" s="4"/>
      <c r="Y18" s="4"/>
      <c r="Z18" s="4"/>
    </row>
    <row r="19" spans="1:27" ht="12.75">
      <c r="A19" s="15">
        <v>3</v>
      </c>
      <c r="B19" s="199" t="s">
        <v>185</v>
      </c>
      <c r="C19" s="118"/>
      <c r="D19" s="118"/>
      <c r="E19" s="118"/>
      <c r="F19" s="113">
        <v>2402496</v>
      </c>
      <c r="G19" s="113"/>
      <c r="H19" s="15"/>
      <c r="I19" s="15"/>
      <c r="J19" s="17"/>
      <c r="K19" s="15"/>
      <c r="L19" s="15"/>
      <c r="M19" s="15"/>
      <c r="N19" s="15"/>
      <c r="O19" s="15"/>
      <c r="P19" s="44"/>
      <c r="Q19" s="44"/>
      <c r="R19" s="15"/>
      <c r="S19" s="15">
        <f>261405.67+1880357.98</f>
        <v>2141763.65</v>
      </c>
      <c r="T19" s="31">
        <f aca="true" t="shared" si="0" ref="T19:T27">H19+I19+J19+K19+L19+M19+N19+O19+P19+Q19+R19+S19</f>
        <v>2141763.65</v>
      </c>
      <c r="U19" s="36"/>
      <c r="V19" s="44"/>
      <c r="AA19" s="4"/>
    </row>
    <row r="20" spans="1:27" ht="12.75">
      <c r="A20" s="15">
        <v>4</v>
      </c>
      <c r="B20" s="88" t="s">
        <v>186</v>
      </c>
      <c r="C20" s="19"/>
      <c r="D20" s="19"/>
      <c r="E20" s="19"/>
      <c r="F20" s="133">
        <v>61200</v>
      </c>
      <c r="G20" s="200"/>
      <c r="H20" s="15"/>
      <c r="I20" s="15"/>
      <c r="J20" s="17"/>
      <c r="K20" s="15"/>
      <c r="L20" s="15"/>
      <c r="M20" s="15"/>
      <c r="N20" s="15"/>
      <c r="O20" s="15"/>
      <c r="P20" s="44"/>
      <c r="Q20" s="44"/>
      <c r="R20" s="15"/>
      <c r="S20" s="15">
        <f>720+59836.08</f>
        <v>60556.08</v>
      </c>
      <c r="T20" s="31">
        <f>H20+I20+J20+K20+L20+M20+N20+O20+P20+Q20+R20+S20</f>
        <v>60556.08</v>
      </c>
      <c r="U20" s="36"/>
      <c r="V20" s="44"/>
      <c r="AA20" s="4"/>
    </row>
    <row r="21" spans="1:27" ht="12.75">
      <c r="A21" s="15">
        <v>5</v>
      </c>
      <c r="B21" s="89" t="s">
        <v>187</v>
      </c>
      <c r="C21" s="19"/>
      <c r="D21" s="19"/>
      <c r="E21" s="19"/>
      <c r="F21" s="133">
        <v>66000</v>
      </c>
      <c r="G21" s="200"/>
      <c r="H21" s="15"/>
      <c r="I21" s="15"/>
      <c r="J21" s="17"/>
      <c r="K21" s="15"/>
      <c r="L21" s="15"/>
      <c r="M21" s="15"/>
      <c r="N21" s="15"/>
      <c r="O21" s="15"/>
      <c r="P21" s="44"/>
      <c r="Q21" s="44"/>
      <c r="R21" s="15"/>
      <c r="S21" s="15">
        <v>66245.35</v>
      </c>
      <c r="T21" s="31">
        <f>H21+I21+J21+K21+L21+M21+N21+O21+P21+Q21+R21+S21</f>
        <v>66245.35</v>
      </c>
      <c r="U21" s="36"/>
      <c r="V21" s="44"/>
      <c r="AA21" s="4"/>
    </row>
    <row r="22" spans="1:22" ht="12.75">
      <c r="A22" s="15">
        <v>6</v>
      </c>
      <c r="B22" s="118" t="s">
        <v>199</v>
      </c>
      <c r="C22" s="118"/>
      <c r="D22" s="118"/>
      <c r="E22" s="118"/>
      <c r="F22" s="113">
        <v>94933</v>
      </c>
      <c r="G22" s="113"/>
      <c r="H22" s="15"/>
      <c r="I22" s="15"/>
      <c r="J22" s="17"/>
      <c r="K22" s="15"/>
      <c r="L22" s="15"/>
      <c r="M22" s="15"/>
      <c r="N22" s="15"/>
      <c r="O22" s="15"/>
      <c r="P22" s="44"/>
      <c r="Q22" s="44"/>
      <c r="R22" s="15"/>
      <c r="S22" s="15">
        <v>112917.06</v>
      </c>
      <c r="T22" s="31">
        <f t="shared" si="0"/>
        <v>112917.06</v>
      </c>
      <c r="U22" s="36"/>
      <c r="V22" s="44"/>
    </row>
    <row r="23" spans="1:22" ht="12.75" hidden="1">
      <c r="A23" s="15">
        <v>4</v>
      </c>
      <c r="B23" s="19" t="s">
        <v>43</v>
      </c>
      <c r="C23" s="19"/>
      <c r="D23" s="19"/>
      <c r="E23" s="19"/>
      <c r="F23" s="20"/>
      <c r="G23" s="20"/>
      <c r="H23" s="15"/>
      <c r="I23" s="15"/>
      <c r="J23" s="17"/>
      <c r="K23" s="15"/>
      <c r="L23" s="15"/>
      <c r="M23" s="15"/>
      <c r="N23" s="15"/>
      <c r="O23" s="15"/>
      <c r="P23" s="44"/>
      <c r="Q23" s="44"/>
      <c r="R23" s="15"/>
      <c r="S23" s="15"/>
      <c r="T23" s="31">
        <f t="shared" si="0"/>
        <v>0</v>
      </c>
      <c r="U23" s="36"/>
      <c r="V23" s="44"/>
    </row>
    <row r="24" spans="1:25" ht="12.75">
      <c r="A24" s="15">
        <v>7</v>
      </c>
      <c r="B24" s="112" t="s">
        <v>6</v>
      </c>
      <c r="C24" s="112"/>
      <c r="D24" s="112"/>
      <c r="E24" s="112"/>
      <c r="F24" s="113">
        <v>5000</v>
      </c>
      <c r="G24" s="113"/>
      <c r="H24" s="15">
        <v>659.06</v>
      </c>
      <c r="I24" s="15">
        <v>727.24</v>
      </c>
      <c r="J24" s="17">
        <v>644.33</v>
      </c>
      <c r="K24" s="15">
        <v>634.4</v>
      </c>
      <c r="L24" s="15">
        <v>574.69</v>
      </c>
      <c r="M24" s="15">
        <v>654.61</v>
      </c>
      <c r="N24" s="15">
        <v>619.41</v>
      </c>
      <c r="O24" s="44">
        <v>711.65</v>
      </c>
      <c r="P24" s="44">
        <v>847.93</v>
      </c>
      <c r="Q24" s="44">
        <v>909.36</v>
      </c>
      <c r="R24" s="15">
        <v>996.3</v>
      </c>
      <c r="S24" s="15">
        <v>958.36</v>
      </c>
      <c r="T24" s="31">
        <f t="shared" si="0"/>
        <v>8937.34</v>
      </c>
      <c r="U24" s="36"/>
      <c r="V24" s="44"/>
      <c r="X24">
        <f>AA19/Z17*X17</f>
        <v>0</v>
      </c>
      <c r="Y24">
        <f>AA19/Z17*Y17</f>
        <v>0</v>
      </c>
    </row>
    <row r="25" spans="1:24" ht="12.75">
      <c r="A25" s="15">
        <v>8</v>
      </c>
      <c r="B25" s="112" t="s">
        <v>237</v>
      </c>
      <c r="C25" s="112"/>
      <c r="D25" s="112"/>
      <c r="E25" s="112"/>
      <c r="F25" s="113"/>
      <c r="G25" s="113"/>
      <c r="H25" s="15"/>
      <c r="I25" s="15"/>
      <c r="J25" s="17"/>
      <c r="K25" s="15"/>
      <c r="L25" s="15"/>
      <c r="M25" s="15"/>
      <c r="N25" s="15"/>
      <c r="O25" s="15"/>
      <c r="P25" s="44"/>
      <c r="Q25" s="44"/>
      <c r="R25" s="15"/>
      <c r="S25" s="15">
        <v>32800</v>
      </c>
      <c r="T25" s="31">
        <v>32800</v>
      </c>
      <c r="U25" s="36"/>
      <c r="V25" s="44"/>
      <c r="X25" s="43">
        <f>X17-X22-X24</f>
        <v>1615100</v>
      </c>
    </row>
    <row r="26" spans="1:24" ht="12.75" hidden="1">
      <c r="A26" s="15"/>
      <c r="B26" s="21"/>
      <c r="C26" s="21"/>
      <c r="D26" s="21"/>
      <c r="E26" s="21"/>
      <c r="F26" s="113"/>
      <c r="G26" s="113"/>
      <c r="H26" s="15"/>
      <c r="I26" s="15"/>
      <c r="J26" s="22"/>
      <c r="K26" s="15"/>
      <c r="L26" s="15"/>
      <c r="M26" s="15"/>
      <c r="N26" s="15"/>
      <c r="O26" s="15"/>
      <c r="P26" s="44"/>
      <c r="Q26" s="44"/>
      <c r="R26" s="15"/>
      <c r="S26" s="15"/>
      <c r="T26" s="31"/>
      <c r="U26" s="36"/>
      <c r="V26" s="44"/>
      <c r="X26">
        <f>X25*15/100</f>
        <v>242265</v>
      </c>
    </row>
    <row r="27" spans="1:22" s="100" customFormat="1" ht="12.75">
      <c r="A27" s="95"/>
      <c r="B27" s="157" t="s">
        <v>8</v>
      </c>
      <c r="C27" s="157"/>
      <c r="D27" s="157"/>
      <c r="E27" s="157"/>
      <c r="F27" s="158">
        <f>SUM(F17:F24)</f>
        <v>4279729</v>
      </c>
      <c r="G27" s="158"/>
      <c r="H27" s="96">
        <f aca="true" t="shared" si="1" ref="H27:S27">SUM(H17:H26)</f>
        <v>124141.06</v>
      </c>
      <c r="I27" s="96">
        <f t="shared" si="1"/>
        <v>124048.24</v>
      </c>
      <c r="J27" s="96">
        <f t="shared" si="1"/>
        <v>123804.33</v>
      </c>
      <c r="K27" s="96">
        <f t="shared" si="1"/>
        <v>203714.4</v>
      </c>
      <c r="L27" s="96">
        <f t="shared" si="1"/>
        <v>56395.69</v>
      </c>
      <c r="M27" s="96">
        <f t="shared" si="1"/>
        <v>141736.61</v>
      </c>
      <c r="N27" s="96">
        <f t="shared" si="1"/>
        <v>142443.41</v>
      </c>
      <c r="O27" s="96">
        <f t="shared" si="1"/>
        <v>224128.65</v>
      </c>
      <c r="P27" s="96">
        <f t="shared" si="1"/>
        <v>67824.93</v>
      </c>
      <c r="Q27" s="96">
        <f t="shared" si="1"/>
        <v>158336.36</v>
      </c>
      <c r="R27" s="96">
        <f t="shared" si="1"/>
        <v>131341.3</v>
      </c>
      <c r="S27" s="96">
        <f t="shared" si="1"/>
        <v>2565478.5</v>
      </c>
      <c r="T27" s="97">
        <f t="shared" si="0"/>
        <v>4063393.4799999995</v>
      </c>
      <c r="U27" s="98"/>
      <c r="V27" s="99">
        <f>SUM(V17:V26)</f>
        <v>0</v>
      </c>
    </row>
    <row r="28" spans="1:22" ht="12.75" hidden="1">
      <c r="A28" s="15"/>
      <c r="B28" s="15" t="s">
        <v>134</v>
      </c>
      <c r="C28" s="15"/>
      <c r="D28" s="15"/>
      <c r="E28" s="15"/>
      <c r="F28" s="16"/>
      <c r="G28" s="16"/>
      <c r="H28" s="15"/>
      <c r="I28" s="15"/>
      <c r="J28" s="22"/>
      <c r="K28" s="15"/>
      <c r="L28" s="15"/>
      <c r="M28" s="15"/>
      <c r="N28" s="15"/>
      <c r="O28" s="44"/>
      <c r="P28" s="44"/>
      <c r="Q28" s="44"/>
      <c r="R28" s="15"/>
      <c r="S28" s="44"/>
      <c r="T28" s="18"/>
      <c r="U28" s="30"/>
      <c r="V28" s="44"/>
    </row>
    <row r="29" spans="1:22" ht="17.25">
      <c r="A29" s="119" t="s">
        <v>9</v>
      </c>
      <c r="B29" s="119"/>
      <c r="C29" s="119"/>
      <c r="D29" s="15"/>
      <c r="E29" s="15"/>
      <c r="F29" s="16"/>
      <c r="G29" s="16"/>
      <c r="H29" s="15" t="s">
        <v>65</v>
      </c>
      <c r="I29" s="15"/>
      <c r="J29" s="22"/>
      <c r="K29" s="15"/>
      <c r="L29" s="15"/>
      <c r="M29" s="15"/>
      <c r="N29" s="15"/>
      <c r="O29" s="15"/>
      <c r="P29" s="15"/>
      <c r="Q29" s="15"/>
      <c r="R29" s="15"/>
      <c r="S29" s="15"/>
      <c r="T29" s="18"/>
      <c r="U29" s="30"/>
      <c r="V29" s="44"/>
    </row>
    <row r="30" spans="1:22" ht="12.75">
      <c r="A30" s="15"/>
      <c r="B30" s="15"/>
      <c r="C30" s="15"/>
      <c r="D30" s="15"/>
      <c r="E30" s="15"/>
      <c r="F30" s="16"/>
      <c r="G30" s="16"/>
      <c r="H30" s="15"/>
      <c r="I30" s="15"/>
      <c r="J30" s="22"/>
      <c r="K30" s="15"/>
      <c r="L30" s="15"/>
      <c r="M30" s="15"/>
      <c r="N30" s="15"/>
      <c r="O30" s="15"/>
      <c r="P30" s="15"/>
      <c r="Q30" s="15"/>
      <c r="R30" s="15"/>
      <c r="S30" s="15"/>
      <c r="T30" s="18"/>
      <c r="U30" s="30"/>
      <c r="V30" s="44"/>
    </row>
    <row r="31" spans="1:22" ht="12.75">
      <c r="A31" s="47" t="s">
        <v>137</v>
      </c>
      <c r="B31" s="161" t="s">
        <v>188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62"/>
    </row>
    <row r="32" spans="1:22" ht="12.75" hidden="1">
      <c r="A32" s="15"/>
      <c r="B32" s="15"/>
      <c r="C32" s="15"/>
      <c r="D32" s="15"/>
      <c r="E32" s="15"/>
      <c r="F32" s="16"/>
      <c r="G32" s="16"/>
      <c r="H32" s="15"/>
      <c r="I32" s="15"/>
      <c r="J32" s="22"/>
      <c r="K32" s="15"/>
      <c r="L32" s="15"/>
      <c r="M32" s="15"/>
      <c r="N32" s="15"/>
      <c r="O32" s="15"/>
      <c r="P32" s="15"/>
      <c r="Q32" s="15"/>
      <c r="R32" s="15"/>
      <c r="S32" s="15"/>
      <c r="T32" s="18"/>
      <c r="U32" s="30"/>
      <c r="V32" s="44"/>
    </row>
    <row r="33" spans="1:22" ht="12.75" hidden="1">
      <c r="A33" s="15"/>
      <c r="B33" s="15"/>
      <c r="C33" s="15"/>
      <c r="D33" s="15"/>
      <c r="E33" s="15"/>
      <c r="F33" s="16"/>
      <c r="G33" s="16"/>
      <c r="H33" s="15"/>
      <c r="I33" s="15"/>
      <c r="J33" s="22"/>
      <c r="K33" s="15"/>
      <c r="L33" s="15"/>
      <c r="M33" s="15"/>
      <c r="N33" s="15"/>
      <c r="O33" s="15"/>
      <c r="P33" s="15"/>
      <c r="Q33" s="15"/>
      <c r="R33" s="15"/>
      <c r="S33" s="15"/>
      <c r="T33" s="18"/>
      <c r="U33" s="30"/>
      <c r="V33" s="44"/>
    </row>
    <row r="34" spans="1:22" ht="12.75">
      <c r="A34" s="16">
        <v>1</v>
      </c>
      <c r="B34" s="145" t="s">
        <v>139</v>
      </c>
      <c r="C34" s="163"/>
      <c r="D34" s="163"/>
      <c r="E34" s="141"/>
      <c r="F34" s="16"/>
      <c r="G34" s="16"/>
      <c r="H34" s="15"/>
      <c r="I34" s="15"/>
      <c r="J34" s="22"/>
      <c r="K34" s="15"/>
      <c r="L34" s="15"/>
      <c r="M34" s="15"/>
      <c r="N34" s="15"/>
      <c r="O34" s="15"/>
      <c r="P34" s="15"/>
      <c r="Q34" s="15"/>
      <c r="R34" s="15"/>
      <c r="S34" s="15"/>
      <c r="T34" s="18"/>
      <c r="U34" s="30"/>
      <c r="V34" s="44"/>
    </row>
    <row r="35" spans="1:22" ht="12.75">
      <c r="A35" s="48">
        <v>1.1</v>
      </c>
      <c r="B35" s="118" t="s">
        <v>140</v>
      </c>
      <c r="C35" s="118"/>
      <c r="D35" s="118"/>
      <c r="E35" s="118"/>
      <c r="F35" s="113">
        <v>277364</v>
      </c>
      <c r="G35" s="113"/>
      <c r="H35" s="22">
        <f>11000+12577</f>
        <v>23577</v>
      </c>
      <c r="I35" s="22">
        <f>3000+1000+7000+3089+1523+6965+1000</f>
        <v>23577</v>
      </c>
      <c r="J35" s="22">
        <f>11000+12577</f>
        <v>23577</v>
      </c>
      <c r="K35" s="34">
        <f>11000+12577</f>
        <v>23577</v>
      </c>
      <c r="L35" s="22">
        <f>11000+13992</f>
        <v>24992</v>
      </c>
      <c r="M35" s="22">
        <f>11000+13991</f>
        <v>24991</v>
      </c>
      <c r="N35" s="22">
        <f>3000+1000+7000+1000+3454+1674+6744+1120</f>
        <v>24992</v>
      </c>
      <c r="O35" s="22">
        <f>3000+1000+7000+1000+4869.73+1675+8245.05+1120</f>
        <v>27909.78</v>
      </c>
      <c r="P35" s="22">
        <f>1000+7000+1000+7920.09+1674+12250.64+1120</f>
        <v>31964.73</v>
      </c>
      <c r="Q35" s="22">
        <f>4000+16211</f>
        <v>20211</v>
      </c>
      <c r="R35" s="22">
        <f>12000+14965.36</f>
        <v>26965.36</v>
      </c>
      <c r="S35" s="22">
        <f>3000+1200+7000+1000+3454+1474+4354+1120-18092.52-38356.56-62766.92</f>
        <v>-96614</v>
      </c>
      <c r="T35" s="31">
        <f>H35+I35+J35+K35+L35+M35+N35+O35+P35+Q35+R35+S35+81000</f>
        <v>260719.87</v>
      </c>
      <c r="U35" s="29"/>
      <c r="V35" s="44"/>
    </row>
    <row r="36" spans="1:22" ht="12.75">
      <c r="A36" s="15">
        <v>1.2</v>
      </c>
      <c r="B36" s="19" t="s">
        <v>141</v>
      </c>
      <c r="C36" s="19"/>
      <c r="D36" s="19"/>
      <c r="E36" s="19"/>
      <c r="F36" s="113">
        <v>350720</v>
      </c>
      <c r="G36" s="115"/>
      <c r="H36" s="15">
        <f>11500+11620</f>
        <v>23120</v>
      </c>
      <c r="I36" s="15">
        <f>9000+3000+10465+2481.74</f>
        <v>24946.739999999998</v>
      </c>
      <c r="J36" s="17">
        <f>7000+16120</f>
        <v>23120</v>
      </c>
      <c r="K36" s="24">
        <f>11500+11620</f>
        <v>23120</v>
      </c>
      <c r="L36" s="15">
        <f>11500+13003</f>
        <v>24503</v>
      </c>
      <c r="M36" s="15">
        <f>11500+13004</f>
        <v>24504</v>
      </c>
      <c r="N36" s="15">
        <f>2700+9000+9509+2794</f>
        <v>24003</v>
      </c>
      <c r="O36" s="15">
        <f>9000+9500+5994</f>
        <v>24494</v>
      </c>
      <c r="P36" s="15">
        <f>11500+9509+3494</f>
        <v>24503</v>
      </c>
      <c r="Q36" s="15">
        <f>11500+3495+23248.06</f>
        <v>38243.06</v>
      </c>
      <c r="R36" s="15">
        <f>2238.02+5994+12991.17</f>
        <v>21223.190000000002</v>
      </c>
      <c r="S36" s="15">
        <f>9000+2500+9509+3494+43760</f>
        <v>68263</v>
      </c>
      <c r="T36" s="31">
        <f aca="true" t="shared" si="2" ref="T36:T64">H36+I36+J36+K36+L36+M36+N36+O36+P36+Q36+R36+S36</f>
        <v>344042.99</v>
      </c>
      <c r="U36" s="29"/>
      <c r="V36" s="44"/>
    </row>
    <row r="37" spans="1:22" ht="12.75">
      <c r="A37" s="15">
        <v>1.3</v>
      </c>
      <c r="B37" s="118" t="s">
        <v>142</v>
      </c>
      <c r="C37" s="118"/>
      <c r="D37" s="118"/>
      <c r="E37" s="118"/>
      <c r="F37" s="113">
        <v>189681</v>
      </c>
      <c r="G37" s="113"/>
      <c r="H37" s="22"/>
      <c r="I37" s="22">
        <f>174.28+2658.91+4572.04+12303+20730.36+185.97+2828.57+4870.26+13062+22016.79-993.6-37506.43</f>
        <v>44902.14999999999</v>
      </c>
      <c r="J37" s="22">
        <f>182.88+2787.01+4794.54+12890+21715.36</f>
        <v>42369.79</v>
      </c>
      <c r="K37" s="22"/>
      <c r="L37" s="22">
        <f>182+2760+4748+34239-1489.69-17949.27</f>
        <v>22490.039999999997</v>
      </c>
      <c r="M37" s="22">
        <f>186+2845+4895+13167+22182-19427.3</f>
        <v>23847.7</v>
      </c>
      <c r="N37" s="22">
        <f>268+4019+6957+18428+31081-14902.49-2979.89-13297.37-5725</f>
        <v>23848.25</v>
      </c>
      <c r="O37" s="22">
        <f>180+2611+4591+14628+19802-449-6527-15961.71</f>
        <v>18874.29</v>
      </c>
      <c r="P37" s="22">
        <f>180.03+2610.4+4590.68+14733+19802.96+201+3052+5256+14088+23738-6527-15162.82-5724-13297.38</f>
        <v>47540.87</v>
      </c>
      <c r="Q37" s="22">
        <f>7.83+35.46+68.81+869.02+1640.41+6013.89+20217-448-7172-5724-13297.37</f>
        <v>2211.0499999999975</v>
      </c>
      <c r="R37" s="22"/>
      <c r="S37" s="22">
        <f>150.05+2175.72+3826.29+14636+16505.58+147.83+1593.84+4319.24+13195+16260.82-5724-13297.24-6231-14476.04-2704-5728-13314.58-6280.39</f>
        <v>5055.119999999996</v>
      </c>
      <c r="T37" s="31">
        <f>H37+I37+J37+K37+L37+M37+N37+O37+P37+Q37+R37+S37-81000</f>
        <v>150139.25999999998</v>
      </c>
      <c r="U37" s="29"/>
      <c r="V37" s="44"/>
    </row>
    <row r="38" spans="1:22" ht="12.75">
      <c r="A38" s="15">
        <v>1.4</v>
      </c>
      <c r="B38" s="118" t="s">
        <v>64</v>
      </c>
      <c r="C38" s="118"/>
      <c r="D38" s="118"/>
      <c r="E38" s="118"/>
      <c r="F38" s="113">
        <v>30000</v>
      </c>
      <c r="G38" s="113"/>
      <c r="H38" s="22"/>
      <c r="I38" s="22"/>
      <c r="J38" s="22">
        <v>3915</v>
      </c>
      <c r="K38" s="22"/>
      <c r="L38" s="22"/>
      <c r="M38" s="22"/>
      <c r="N38" s="22">
        <f>500+500+500</f>
        <v>1500</v>
      </c>
      <c r="O38" s="22"/>
      <c r="P38" s="22"/>
      <c r="Q38" s="22"/>
      <c r="R38" s="22"/>
      <c r="S38" s="22"/>
      <c r="T38" s="31">
        <f t="shared" si="2"/>
        <v>5415</v>
      </c>
      <c r="U38" s="29"/>
      <c r="V38" s="44"/>
    </row>
    <row r="39" spans="1:22" ht="12.75">
      <c r="A39" s="15">
        <v>1.5</v>
      </c>
      <c r="B39" s="112" t="s">
        <v>16</v>
      </c>
      <c r="C39" s="112"/>
      <c r="D39" s="112"/>
      <c r="E39" s="112"/>
      <c r="F39" s="113">
        <v>70000</v>
      </c>
      <c r="G39" s="113"/>
      <c r="H39" s="15">
        <f>750+20+720+220+1050+540+200+490+810</f>
        <v>4800</v>
      </c>
      <c r="I39" s="15">
        <f>100+140+960+120+20+720+600+200+200+300+1020+490+810</f>
        <v>5680</v>
      </c>
      <c r="J39" s="22">
        <f>840+160+840+240+720+200+660+320+490+810</f>
        <v>5280</v>
      </c>
      <c r="K39" s="22">
        <f>260+540+100+1200+220+540+100+1200+100+490+570+810</f>
        <v>6130</v>
      </c>
      <c r="L39" s="15">
        <f>570+80+60+720+200+840+100+570+490+1010</f>
        <v>4640</v>
      </c>
      <c r="M39" s="15">
        <f>160+780+120+100+720+40+480+100+480+100+490+1010</f>
        <v>4580</v>
      </c>
      <c r="N39" s="15">
        <f>300+1200+300+660+150+480+130+510+260+260+720+490+1010</f>
        <v>6470</v>
      </c>
      <c r="O39" s="15">
        <v>5250</v>
      </c>
      <c r="P39" s="15">
        <v>5420</v>
      </c>
      <c r="Q39" s="15">
        <f>600+1140+490+60+390+540+600+260+130+600+20+250+20+1010+10</f>
        <v>6120</v>
      </c>
      <c r="R39" s="15">
        <f>600+60+390+840+20+840+720+45+600+12+90+490+1010</f>
        <v>5717</v>
      </c>
      <c r="S39" s="15">
        <v>6761</v>
      </c>
      <c r="T39" s="31">
        <f t="shared" si="2"/>
        <v>66848</v>
      </c>
      <c r="U39" s="29"/>
      <c r="V39" s="44"/>
    </row>
    <row r="40" spans="1:22" ht="12.75">
      <c r="A40" s="15">
        <v>1.6</v>
      </c>
      <c r="B40" s="112" t="s">
        <v>143</v>
      </c>
      <c r="C40" s="112"/>
      <c r="D40" s="112"/>
      <c r="E40" s="112"/>
      <c r="F40" s="113">
        <v>14000</v>
      </c>
      <c r="G40" s="113"/>
      <c r="H40" s="15">
        <f>815.73</f>
        <v>815.73</v>
      </c>
      <c r="I40" s="15">
        <v>790.9</v>
      </c>
      <c r="J40" s="17">
        <f>773.13+200</f>
        <v>973.13</v>
      </c>
      <c r="K40" s="22">
        <v>1020.32</v>
      </c>
      <c r="L40" s="22">
        <f>913.69+200</f>
        <v>1113.69</v>
      </c>
      <c r="M40" s="22">
        <f>957.68+200</f>
        <v>1157.6799999999998</v>
      </c>
      <c r="N40" s="22">
        <v>957.68</v>
      </c>
      <c r="O40" s="22">
        <v>731.93</v>
      </c>
      <c r="P40" s="22">
        <v>789.75</v>
      </c>
      <c r="Q40" s="22">
        <f>819.58+300</f>
        <v>1119.58</v>
      </c>
      <c r="R40" s="22">
        <v>768.65</v>
      </c>
      <c r="S40" s="22">
        <f>938.04+300</f>
        <v>1238.04</v>
      </c>
      <c r="T40" s="31">
        <f t="shared" si="2"/>
        <v>11477.080000000002</v>
      </c>
      <c r="U40" s="29"/>
      <c r="V40" s="44"/>
    </row>
    <row r="41" spans="1:22" ht="12.75">
      <c r="A41" s="15">
        <v>1.7</v>
      </c>
      <c r="B41" s="112" t="s">
        <v>144</v>
      </c>
      <c r="C41" s="112"/>
      <c r="D41" s="112"/>
      <c r="E41" s="112"/>
      <c r="F41" s="113">
        <v>20000</v>
      </c>
      <c r="G41" s="113"/>
      <c r="H41" s="22">
        <v>6524.43</v>
      </c>
      <c r="I41" s="22">
        <f>6200+110</f>
        <v>6310</v>
      </c>
      <c r="J41" s="22"/>
      <c r="K41" s="22"/>
      <c r="L41" s="22">
        <f>1030.32+20</f>
        <v>1050.32</v>
      </c>
      <c r="M41" s="22"/>
      <c r="N41" s="22">
        <f>790</f>
        <v>790</v>
      </c>
      <c r="O41" s="22">
        <f>1450+900+144.74</f>
        <v>2494.74</v>
      </c>
      <c r="P41" s="22"/>
      <c r="Q41" s="22">
        <f>151.04</f>
        <v>151.04</v>
      </c>
      <c r="R41" s="22"/>
      <c r="S41" s="22"/>
      <c r="T41" s="31">
        <f t="shared" si="2"/>
        <v>17320.53</v>
      </c>
      <c r="U41" s="29"/>
      <c r="V41" s="44"/>
    </row>
    <row r="42" spans="1:22" ht="12.75">
      <c r="A42" s="15">
        <v>1.8</v>
      </c>
      <c r="B42" s="112" t="s">
        <v>46</v>
      </c>
      <c r="C42" s="112"/>
      <c r="D42" s="112"/>
      <c r="E42" s="112"/>
      <c r="F42" s="113">
        <v>12000</v>
      </c>
      <c r="G42" s="113"/>
      <c r="H42" s="22"/>
      <c r="I42" s="22">
        <f>180+180+200</f>
        <v>560</v>
      </c>
      <c r="J42" s="22">
        <f>180+180+178+150+91+175</f>
        <v>954</v>
      </c>
      <c r="K42" s="22"/>
      <c r="L42" s="22">
        <f>177+180+117.5+127+150</f>
        <v>751.5</v>
      </c>
      <c r="M42" s="22">
        <f>155</f>
        <v>155</v>
      </c>
      <c r="N42" s="22">
        <f>100+202+948</f>
        <v>1250</v>
      </c>
      <c r="O42" s="22">
        <f>301+90+181</f>
        <v>572</v>
      </c>
      <c r="P42" s="22"/>
      <c r="Q42" s="22">
        <f>83.05+155+130</f>
        <v>368.05</v>
      </c>
      <c r="R42" s="22"/>
      <c r="S42" s="22">
        <f>360</f>
        <v>360</v>
      </c>
      <c r="T42" s="31">
        <f t="shared" si="2"/>
        <v>4970.55</v>
      </c>
      <c r="U42" s="29"/>
      <c r="V42" s="44"/>
    </row>
    <row r="43" spans="1:22" ht="12.75">
      <c r="A43" s="15">
        <v>1.9</v>
      </c>
      <c r="B43" s="112" t="s">
        <v>112</v>
      </c>
      <c r="C43" s="112"/>
      <c r="D43" s="112"/>
      <c r="E43" s="112"/>
      <c r="F43" s="113">
        <v>7000</v>
      </c>
      <c r="G43" s="113"/>
      <c r="H43" s="15"/>
      <c r="I43" s="15"/>
      <c r="J43" s="22"/>
      <c r="K43" s="25"/>
      <c r="L43" s="15"/>
      <c r="M43" s="22"/>
      <c r="N43" s="15">
        <f>3230+180</f>
        <v>3410</v>
      </c>
      <c r="O43" s="15"/>
      <c r="P43" s="22"/>
      <c r="Q43" s="15"/>
      <c r="R43" s="15"/>
      <c r="S43" s="15">
        <v>3600</v>
      </c>
      <c r="T43" s="31">
        <f t="shared" si="2"/>
        <v>7010</v>
      </c>
      <c r="U43" s="29"/>
      <c r="V43" s="44"/>
    </row>
    <row r="44" spans="1:22" ht="12.75">
      <c r="A44" s="44">
        <v>1.1</v>
      </c>
      <c r="B44" s="112" t="s">
        <v>145</v>
      </c>
      <c r="C44" s="112"/>
      <c r="D44" s="112"/>
      <c r="E44" s="112"/>
      <c r="F44" s="116">
        <v>55000</v>
      </c>
      <c r="G44" s="116"/>
      <c r="H44" s="22"/>
      <c r="I44" s="15"/>
      <c r="J44" s="22"/>
      <c r="K44" s="22"/>
      <c r="L44" s="22"/>
      <c r="M44" s="22"/>
      <c r="N44" s="22"/>
      <c r="O44" s="22"/>
      <c r="P44" s="22"/>
      <c r="Q44" s="15"/>
      <c r="R44" s="22"/>
      <c r="S44" s="22">
        <v>45990</v>
      </c>
      <c r="T44" s="31">
        <f t="shared" si="2"/>
        <v>45990</v>
      </c>
      <c r="U44" s="29"/>
      <c r="V44" s="44"/>
    </row>
    <row r="45" spans="1:22" ht="12.75">
      <c r="A45" s="44"/>
      <c r="B45" s="21"/>
      <c r="C45" s="21"/>
      <c r="D45" s="21"/>
      <c r="E45" s="21"/>
      <c r="F45" s="46"/>
      <c r="G45" s="46"/>
      <c r="H45" s="22"/>
      <c r="I45" s="15"/>
      <c r="J45" s="22"/>
      <c r="K45" s="22"/>
      <c r="L45" s="22"/>
      <c r="M45" s="22"/>
      <c r="N45" s="22"/>
      <c r="O45" s="22"/>
      <c r="P45" s="22"/>
      <c r="Q45" s="15"/>
      <c r="R45" s="22"/>
      <c r="S45" s="22"/>
      <c r="T45" s="31">
        <f t="shared" si="2"/>
        <v>0</v>
      </c>
      <c r="U45" s="29"/>
      <c r="V45" s="44"/>
    </row>
    <row r="46" spans="1:22" s="100" customFormat="1" ht="12.75">
      <c r="A46" s="99"/>
      <c r="B46" s="63" t="s">
        <v>8</v>
      </c>
      <c r="C46" s="69"/>
      <c r="D46" s="69"/>
      <c r="E46" s="69"/>
      <c r="F46" s="149">
        <f>SUM(F35:F45)</f>
        <v>1025765</v>
      </c>
      <c r="G46" s="150"/>
      <c r="H46" s="95">
        <f aca="true" t="shared" si="3" ref="H46:S46">SUM(H35:H45)</f>
        <v>58837.16</v>
      </c>
      <c r="I46" s="95">
        <f t="shared" si="3"/>
        <v>106766.78999999998</v>
      </c>
      <c r="J46" s="95">
        <f t="shared" si="3"/>
        <v>100188.92000000001</v>
      </c>
      <c r="K46" s="95">
        <f t="shared" si="3"/>
        <v>53847.32</v>
      </c>
      <c r="L46" s="95">
        <f t="shared" si="3"/>
        <v>79540.55</v>
      </c>
      <c r="M46" s="95">
        <f t="shared" si="3"/>
        <v>79235.37999999999</v>
      </c>
      <c r="N46" s="95">
        <f t="shared" si="3"/>
        <v>87220.93</v>
      </c>
      <c r="O46" s="95">
        <f t="shared" si="3"/>
        <v>80326.74</v>
      </c>
      <c r="P46" s="95">
        <f t="shared" si="3"/>
        <v>110218.35</v>
      </c>
      <c r="Q46" s="95">
        <f t="shared" si="3"/>
        <v>68423.77999999998</v>
      </c>
      <c r="R46" s="95">
        <f t="shared" si="3"/>
        <v>54674.200000000004</v>
      </c>
      <c r="S46" s="95">
        <f t="shared" si="3"/>
        <v>34653.159999999996</v>
      </c>
      <c r="T46" s="97">
        <f>H46+I46+J46+K46+L46+M46+N46+O46+P46+Q46+R46+S46</f>
        <v>913933.28</v>
      </c>
      <c r="U46" s="98"/>
      <c r="V46" s="99"/>
    </row>
    <row r="47" spans="1:22" ht="12.75" hidden="1">
      <c r="A47" s="44"/>
      <c r="B47" s="21"/>
      <c r="C47" s="21"/>
      <c r="D47" s="21"/>
      <c r="E47" s="21"/>
      <c r="F47" s="46"/>
      <c r="G47" s="46"/>
      <c r="H47" s="22"/>
      <c r="I47" s="15"/>
      <c r="J47" s="22"/>
      <c r="K47" s="22"/>
      <c r="L47" s="22"/>
      <c r="M47" s="22"/>
      <c r="N47" s="22"/>
      <c r="O47" s="22"/>
      <c r="P47" s="22"/>
      <c r="Q47" s="15"/>
      <c r="R47" s="22"/>
      <c r="S47" s="22"/>
      <c r="T47" s="31">
        <f t="shared" si="2"/>
        <v>0</v>
      </c>
      <c r="U47" s="29"/>
      <c r="V47" s="44"/>
    </row>
    <row r="48" spans="1:22" ht="12.75">
      <c r="A48" s="15"/>
      <c r="B48" s="112"/>
      <c r="C48" s="112"/>
      <c r="D48" s="112"/>
      <c r="E48" s="112"/>
      <c r="F48" s="116"/>
      <c r="G48" s="116"/>
      <c r="H48" s="22"/>
      <c r="I48" s="15"/>
      <c r="J48" s="17"/>
      <c r="K48" s="25"/>
      <c r="L48" s="15"/>
      <c r="M48" s="15"/>
      <c r="N48" s="15"/>
      <c r="O48" s="15"/>
      <c r="P48" s="22"/>
      <c r="Q48" s="15"/>
      <c r="R48" s="15"/>
      <c r="S48" s="15"/>
      <c r="T48" s="31" t="s">
        <v>89</v>
      </c>
      <c r="U48" s="29"/>
      <c r="V48" s="44"/>
    </row>
    <row r="49" spans="1:22" ht="12.75">
      <c r="A49" s="55">
        <v>2</v>
      </c>
      <c r="B49" s="156" t="s">
        <v>159</v>
      </c>
      <c r="C49" s="156"/>
      <c r="D49" s="156"/>
      <c r="E49" s="156"/>
      <c r="F49" s="116"/>
      <c r="G49" s="116"/>
      <c r="H49" s="15"/>
      <c r="I49" s="15"/>
      <c r="J49" s="17"/>
      <c r="K49" s="25"/>
      <c r="L49" s="15"/>
      <c r="M49" s="22"/>
      <c r="N49" s="34"/>
      <c r="O49" s="34"/>
      <c r="P49" s="15"/>
      <c r="Q49" s="15"/>
      <c r="R49" s="15"/>
      <c r="S49" s="15"/>
      <c r="T49" s="31" t="s">
        <v>89</v>
      </c>
      <c r="U49" s="29"/>
      <c r="V49" s="44"/>
    </row>
    <row r="50" spans="1:22" ht="12.75">
      <c r="A50" s="15">
        <v>2.1</v>
      </c>
      <c r="B50" s="112" t="s">
        <v>147</v>
      </c>
      <c r="C50" s="112"/>
      <c r="D50" s="112"/>
      <c r="E50" s="112"/>
      <c r="F50" s="113">
        <v>588284</v>
      </c>
      <c r="G50" s="113"/>
      <c r="H50" s="15">
        <f>16100+20038</f>
        <v>36138</v>
      </c>
      <c r="I50" s="15">
        <f>3259.68+12600+3220+912+3765+6500+2067+1310+3765</f>
        <v>37398.68</v>
      </c>
      <c r="J50" s="17">
        <f>14600+21536</f>
        <v>36136</v>
      </c>
      <c r="K50" s="25">
        <f>16100+20039</f>
        <v>36139</v>
      </c>
      <c r="L50" s="15">
        <f>16100+23025.23</f>
        <v>39125.229999999996</v>
      </c>
      <c r="M50" s="22">
        <f>16100+40215-18009</f>
        <v>38306</v>
      </c>
      <c r="N50" s="15">
        <f>37100-21000+7510.48+45590-25295</f>
        <v>43905.479999999996</v>
      </c>
      <c r="O50" s="15">
        <f>13600+30090.04</f>
        <v>43690.04</v>
      </c>
      <c r="P50" s="15">
        <f>16100+22207</f>
        <v>38307</v>
      </c>
      <c r="Q50" s="15">
        <f>16100+22207</f>
        <v>38307</v>
      </c>
      <c r="R50" s="15">
        <f>14600+23707</f>
        <v>38307</v>
      </c>
      <c r="S50" s="15">
        <f>2500+800+3500+3868.83+3000+2000+1200+3500+3033+1014+3672+6067+2310+1567+3671+18092.52+38356.56-43760+62766.92+61843</f>
        <v>179001.83000000002</v>
      </c>
      <c r="T50" s="31">
        <f>H50+I50+J50+K50+L50+M50+N50+O50+P50+Q50+R50+S50</f>
        <v>604761.26</v>
      </c>
      <c r="U50" s="29"/>
      <c r="V50" s="44"/>
    </row>
    <row r="51" spans="1:22" ht="12.75">
      <c r="A51" s="15">
        <v>2.2</v>
      </c>
      <c r="B51" s="112" t="s">
        <v>142</v>
      </c>
      <c r="C51" s="112"/>
      <c r="D51" s="112"/>
      <c r="E51" s="112"/>
      <c r="F51" s="116">
        <v>177662</v>
      </c>
      <c r="G51" s="116"/>
      <c r="H51" s="15"/>
      <c r="I51" s="15">
        <v>37506.43</v>
      </c>
      <c r="J51" s="17"/>
      <c r="K51" s="25"/>
      <c r="L51" s="15">
        <v>17949.27</v>
      </c>
      <c r="M51" s="15">
        <v>19427.3</v>
      </c>
      <c r="N51" s="15">
        <f>13297.37+5725</f>
        <v>19022.370000000003</v>
      </c>
      <c r="O51" s="15">
        <f>6527+15961.71</f>
        <v>22488.71</v>
      </c>
      <c r="P51" s="15">
        <f>6527+15162.82+5724+13297.38</f>
        <v>40711.2</v>
      </c>
      <c r="Q51" s="15">
        <f>5724+13297.37</f>
        <v>19021.370000000003</v>
      </c>
      <c r="R51" s="15"/>
      <c r="S51" s="15">
        <f>5724+13297.24+6231+14476.04+2704+5728+13314.58+6280.39-61244</f>
        <v>6511.25</v>
      </c>
      <c r="T51" s="31">
        <f>H51+I51+J51+K51+L51+M51+N51+O51+P51+Q51+R51+S51</f>
        <v>182637.89999999997</v>
      </c>
      <c r="U51" s="29"/>
      <c r="V51" s="44"/>
    </row>
    <row r="52" spans="1:22" ht="12.75">
      <c r="A52" s="15">
        <v>2.3</v>
      </c>
      <c r="B52" s="112" t="s">
        <v>148</v>
      </c>
      <c r="C52" s="112"/>
      <c r="D52" s="112"/>
      <c r="E52" s="112"/>
      <c r="F52" s="113">
        <v>120000</v>
      </c>
      <c r="G52" s="113"/>
      <c r="H52" s="15"/>
      <c r="I52" s="22">
        <f>1480+2001+993.6</f>
        <v>4474.6</v>
      </c>
      <c r="J52" s="22"/>
      <c r="K52" s="22"/>
      <c r="L52" s="22"/>
      <c r="M52" s="22">
        <f>520+6000</f>
        <v>6520</v>
      </c>
      <c r="N52" s="22">
        <f>2979.89+970+920+850+69+5050+4002+1001</f>
        <v>15841.89</v>
      </c>
      <c r="O52" s="22">
        <f>3001+449</f>
        <v>3450</v>
      </c>
      <c r="P52" s="15"/>
      <c r="Q52" s="22"/>
      <c r="R52" s="15"/>
      <c r="S52" s="22">
        <f>26000+61244</f>
        <v>87244</v>
      </c>
      <c r="T52" s="31">
        <f>H52+I52+J52+K52+L52+M52+N52+O52+P52+Q52+R52+S52</f>
        <v>117530.48999999999</v>
      </c>
      <c r="U52" s="29"/>
      <c r="V52" s="44"/>
    </row>
    <row r="53" spans="1:22" ht="12.75">
      <c r="A53" s="15">
        <v>2.4</v>
      </c>
      <c r="B53" s="112" t="s">
        <v>149</v>
      </c>
      <c r="C53" s="112"/>
      <c r="D53" s="112"/>
      <c r="E53" s="112"/>
      <c r="F53" s="116">
        <v>70000</v>
      </c>
      <c r="G53" s="116"/>
      <c r="H53" s="15"/>
      <c r="I53" s="15">
        <v>2900</v>
      </c>
      <c r="J53" s="17">
        <f>10950+1500</f>
        <v>12450</v>
      </c>
      <c r="K53" s="25"/>
      <c r="L53" s="15">
        <f>110+500+150+414+400</f>
        <v>1574</v>
      </c>
      <c r="M53" s="15">
        <f>1000</f>
        <v>1000</v>
      </c>
      <c r="N53" s="15"/>
      <c r="O53" s="15">
        <f>550+560+48+100+1020+369</f>
        <v>2647</v>
      </c>
      <c r="P53" s="15"/>
      <c r="Q53" s="15">
        <f>90</f>
        <v>90</v>
      </c>
      <c r="R53" s="15"/>
      <c r="S53" s="15">
        <f>550+320+80+1000+4648.69</f>
        <v>6598.69</v>
      </c>
      <c r="T53" s="31">
        <f t="shared" si="2"/>
        <v>27259.69</v>
      </c>
      <c r="U53" s="29"/>
      <c r="V53" s="44"/>
    </row>
    <row r="54" spans="1:22" ht="12.75">
      <c r="A54" s="15">
        <v>2.5</v>
      </c>
      <c r="B54" s="155" t="s">
        <v>150</v>
      </c>
      <c r="C54" s="155"/>
      <c r="D54" s="155"/>
      <c r="E54" s="155"/>
      <c r="F54" s="116">
        <v>63000</v>
      </c>
      <c r="G54" s="116"/>
      <c r="H54" s="15"/>
      <c r="I54" s="15">
        <f>2171.7+2171.7</f>
        <v>4343.4</v>
      </c>
      <c r="J54" s="17">
        <f>2018.29</f>
        <v>2018.29</v>
      </c>
      <c r="K54" s="25">
        <f>6040.42+2325.11</f>
        <v>8365.53</v>
      </c>
      <c r="L54" s="15">
        <v>8212.12</v>
      </c>
      <c r="M54" s="22"/>
      <c r="N54" s="15">
        <f>2171.7+2171.7+6040.42</f>
        <v>10383.82</v>
      </c>
      <c r="O54" s="22">
        <v>6040.42</v>
      </c>
      <c r="P54" s="22">
        <v>2171.7</v>
      </c>
      <c r="Q54" s="15">
        <v>2171.7</v>
      </c>
      <c r="R54" s="15">
        <v>2171.7</v>
      </c>
      <c r="S54" s="15">
        <v>2171.7</v>
      </c>
      <c r="T54" s="31">
        <f t="shared" si="2"/>
        <v>48050.37999999999</v>
      </c>
      <c r="U54" s="29"/>
      <c r="V54" s="44"/>
    </row>
    <row r="55" spans="1:22" ht="12.75">
      <c r="A55" s="15">
        <v>2.6</v>
      </c>
      <c r="B55" s="112" t="s">
        <v>54</v>
      </c>
      <c r="C55" s="112"/>
      <c r="D55" s="112"/>
      <c r="E55" s="112"/>
      <c r="F55" s="113">
        <v>300000</v>
      </c>
      <c r="G55" s="113"/>
      <c r="H55" s="15">
        <v>22563.85</v>
      </c>
      <c r="I55" s="15">
        <v>22563.85</v>
      </c>
      <c r="J55" s="17">
        <v>22563.85</v>
      </c>
      <c r="K55" s="25">
        <v>22563.85</v>
      </c>
      <c r="L55" s="22"/>
      <c r="M55" s="15">
        <f>22563.85+22563.85</f>
        <v>45127.7</v>
      </c>
      <c r="N55" s="15">
        <v>23917.74</v>
      </c>
      <c r="O55" s="15"/>
      <c r="P55" s="15">
        <v>23917.74</v>
      </c>
      <c r="Q55" s="15">
        <f>23917.74+23917.74</f>
        <v>47835.48</v>
      </c>
      <c r="R55" s="15">
        <v>23917.74</v>
      </c>
      <c r="S55" s="15">
        <f>23917.74</f>
        <v>23917.74</v>
      </c>
      <c r="T55" s="31">
        <f t="shared" si="2"/>
        <v>278889.54</v>
      </c>
      <c r="U55" s="29"/>
      <c r="V55" s="44"/>
    </row>
    <row r="56" spans="1:22" ht="12.75">
      <c r="A56" s="15">
        <v>2.7</v>
      </c>
      <c r="B56" s="136" t="s">
        <v>192</v>
      </c>
      <c r="C56" s="137"/>
      <c r="D56" s="137"/>
      <c r="E56" s="138"/>
      <c r="F56" s="113">
        <v>12000</v>
      </c>
      <c r="G56" s="115"/>
      <c r="H56" s="22"/>
      <c r="I56" s="22">
        <f>70</f>
        <v>70</v>
      </c>
      <c r="J56" s="17">
        <v>900</v>
      </c>
      <c r="K56" s="22"/>
      <c r="L56" s="15"/>
      <c r="M56" s="22">
        <v>900</v>
      </c>
      <c r="N56" s="22"/>
      <c r="O56" s="22"/>
      <c r="P56" s="22">
        <v>900</v>
      </c>
      <c r="Q56" s="22"/>
      <c r="R56" s="22">
        <v>900</v>
      </c>
      <c r="S56" s="22"/>
      <c r="T56" s="31">
        <f t="shared" si="2"/>
        <v>3670</v>
      </c>
      <c r="U56" s="29"/>
      <c r="V56" s="44"/>
    </row>
    <row r="57" spans="1:22" ht="12.75">
      <c r="A57" s="15">
        <v>2.8</v>
      </c>
      <c r="B57" s="21" t="s">
        <v>152</v>
      </c>
      <c r="C57" s="21"/>
      <c r="D57" s="21"/>
      <c r="E57" s="21"/>
      <c r="F57" s="113">
        <v>32000</v>
      </c>
      <c r="G57" s="115"/>
      <c r="H57" s="15"/>
      <c r="I57" s="15">
        <v>2600</v>
      </c>
      <c r="J57" s="22">
        <v>2600</v>
      </c>
      <c r="K57" s="25">
        <f>2500+2600</f>
        <v>5100</v>
      </c>
      <c r="L57" s="15">
        <v>2600</v>
      </c>
      <c r="M57" s="22">
        <v>2600</v>
      </c>
      <c r="N57" s="15">
        <v>2600</v>
      </c>
      <c r="O57" s="15">
        <v>2600</v>
      </c>
      <c r="P57" s="22">
        <v>2600</v>
      </c>
      <c r="Q57" s="15">
        <v>2600</v>
      </c>
      <c r="R57" s="15">
        <v>2600</v>
      </c>
      <c r="S57" s="22">
        <f>2600+2600</f>
        <v>5200</v>
      </c>
      <c r="T57" s="31">
        <f t="shared" si="2"/>
        <v>33700</v>
      </c>
      <c r="U57" s="29"/>
      <c r="V57" s="44"/>
    </row>
    <row r="58" spans="1:22" ht="12.75">
      <c r="A58" s="15">
        <v>2.9</v>
      </c>
      <c r="B58" s="136" t="s">
        <v>153</v>
      </c>
      <c r="C58" s="143"/>
      <c r="D58" s="143"/>
      <c r="E58" s="134"/>
      <c r="F58" s="133">
        <v>100000</v>
      </c>
      <c r="G58" s="134"/>
      <c r="H58" s="15"/>
      <c r="I58" s="15"/>
      <c r="J58" s="22">
        <v>545</v>
      </c>
      <c r="K58" s="25">
        <f>3000</f>
        <v>3000</v>
      </c>
      <c r="L58" s="15">
        <f>500+2000+1489.69</f>
        <v>3989.69</v>
      </c>
      <c r="M58" s="22">
        <f>2668+142.5+10000+2001+18009</f>
        <v>32820.5</v>
      </c>
      <c r="N58" s="15">
        <f>14902.49+280+280+250+4485+1330+22088</f>
        <v>43615.49</v>
      </c>
      <c r="O58" s="15">
        <f>114</f>
        <v>114</v>
      </c>
      <c r="P58" s="22">
        <f>21215</f>
        <v>21215</v>
      </c>
      <c r="Q58" s="15">
        <f>1407+48000+3000+448+7172</f>
        <v>60027</v>
      </c>
      <c r="R58" s="15"/>
      <c r="S58" s="22">
        <f>-61843-4648.69</f>
        <v>-66491.69</v>
      </c>
      <c r="T58" s="31">
        <f t="shared" si="2"/>
        <v>98834.98999999999</v>
      </c>
      <c r="U58" s="29"/>
      <c r="V58" s="44"/>
    </row>
    <row r="59" spans="1:22" ht="12.75">
      <c r="A59" s="44">
        <v>2.1</v>
      </c>
      <c r="B59" s="136" t="s">
        <v>193</v>
      </c>
      <c r="C59" s="143"/>
      <c r="D59" s="143"/>
      <c r="E59" s="134"/>
      <c r="F59" s="133">
        <v>30000</v>
      </c>
      <c r="G59" s="134"/>
      <c r="H59" s="15"/>
      <c r="I59" s="15"/>
      <c r="J59" s="22"/>
      <c r="K59" s="25"/>
      <c r="L59" s="15"/>
      <c r="M59" s="22"/>
      <c r="N59" s="15"/>
      <c r="O59" s="15"/>
      <c r="P59" s="22"/>
      <c r="Q59" s="15"/>
      <c r="R59" s="15"/>
      <c r="S59" s="22"/>
      <c r="T59" s="31">
        <f t="shared" si="2"/>
        <v>0</v>
      </c>
      <c r="U59" s="29"/>
      <c r="V59" s="44"/>
    </row>
    <row r="60" spans="1:22" ht="12.75">
      <c r="A60" s="15">
        <v>2.11</v>
      </c>
      <c r="B60" s="136" t="s">
        <v>119</v>
      </c>
      <c r="C60" s="143"/>
      <c r="D60" s="143"/>
      <c r="E60" s="134"/>
      <c r="F60" s="133">
        <v>60000</v>
      </c>
      <c r="G60" s="134"/>
      <c r="H60" s="15">
        <v>6000</v>
      </c>
      <c r="I60" s="15">
        <v>5457.62</v>
      </c>
      <c r="J60" s="22">
        <v>4747.84</v>
      </c>
      <c r="K60" s="25">
        <v>4908.24</v>
      </c>
      <c r="L60" s="15"/>
      <c r="M60" s="22">
        <v>10000</v>
      </c>
      <c r="N60" s="15">
        <v>6345.85</v>
      </c>
      <c r="O60" s="15">
        <v>5592.84</v>
      </c>
      <c r="P60" s="22">
        <v>5383.84</v>
      </c>
      <c r="Q60" s="15">
        <v>5935.6</v>
      </c>
      <c r="R60" s="15">
        <f>6000+7000</f>
        <v>13000</v>
      </c>
      <c r="S60" s="22">
        <v>6000</v>
      </c>
      <c r="T60" s="31">
        <f t="shared" si="2"/>
        <v>73371.82999999999</v>
      </c>
      <c r="U60" s="29"/>
      <c r="V60" s="44"/>
    </row>
    <row r="61" spans="1:22" ht="12.75">
      <c r="A61" s="15">
        <v>2.12</v>
      </c>
      <c r="B61" s="136" t="s">
        <v>194</v>
      </c>
      <c r="C61" s="143"/>
      <c r="D61" s="143"/>
      <c r="E61" s="134"/>
      <c r="F61" s="133">
        <v>27000</v>
      </c>
      <c r="G61" s="134"/>
      <c r="H61" s="15"/>
      <c r="I61" s="15"/>
      <c r="J61" s="22"/>
      <c r="K61" s="25"/>
      <c r="L61" s="15">
        <v>25757</v>
      </c>
      <c r="M61" s="22"/>
      <c r="N61" s="15"/>
      <c r="O61" s="15"/>
      <c r="P61" s="22"/>
      <c r="Q61" s="15"/>
      <c r="R61" s="15"/>
      <c r="S61" s="22"/>
      <c r="T61" s="31">
        <f t="shared" si="2"/>
        <v>25757</v>
      </c>
      <c r="U61" s="29"/>
      <c r="V61" s="44"/>
    </row>
    <row r="62" spans="1:22" ht="12.75">
      <c r="A62" s="15">
        <v>2.13</v>
      </c>
      <c r="B62" s="39" t="s">
        <v>195</v>
      </c>
      <c r="C62" s="40"/>
      <c r="D62" s="40"/>
      <c r="E62" s="41"/>
      <c r="F62" s="133">
        <v>42840</v>
      </c>
      <c r="G62" s="134"/>
      <c r="H62" s="15"/>
      <c r="I62" s="15"/>
      <c r="J62" s="22"/>
      <c r="K62" s="25"/>
      <c r="L62" s="15"/>
      <c r="M62" s="22"/>
      <c r="N62" s="15"/>
      <c r="O62" s="15"/>
      <c r="P62" s="22"/>
      <c r="Q62" s="15"/>
      <c r="R62" s="15"/>
      <c r="S62" s="22">
        <v>42315.2</v>
      </c>
      <c r="T62" s="31">
        <f t="shared" si="2"/>
        <v>42315.2</v>
      </c>
      <c r="U62" s="29"/>
      <c r="V62" s="44"/>
    </row>
    <row r="63" spans="1:22" ht="12.75">
      <c r="A63" s="15">
        <v>2.14</v>
      </c>
      <c r="B63" s="39" t="s">
        <v>189</v>
      </c>
      <c r="C63" s="40"/>
      <c r="D63" s="40"/>
      <c r="E63" s="41"/>
      <c r="F63" s="133">
        <v>61200</v>
      </c>
      <c r="G63" s="134"/>
      <c r="H63" s="15"/>
      <c r="I63" s="15"/>
      <c r="J63" s="22"/>
      <c r="K63" s="25">
        <v>13800</v>
      </c>
      <c r="L63" s="15"/>
      <c r="M63" s="22"/>
      <c r="N63" s="15">
        <v>13800</v>
      </c>
      <c r="O63" s="15"/>
      <c r="P63" s="22">
        <v>13800</v>
      </c>
      <c r="Q63" s="15"/>
      <c r="R63" s="15"/>
      <c r="S63" s="22">
        <v>13800</v>
      </c>
      <c r="T63" s="31">
        <f t="shared" si="2"/>
        <v>55200</v>
      </c>
      <c r="U63" s="29"/>
      <c r="V63" s="44" t="s">
        <v>89</v>
      </c>
    </row>
    <row r="64" spans="1:22" ht="12.75">
      <c r="A64" s="15">
        <v>2.15</v>
      </c>
      <c r="B64" s="39" t="s">
        <v>190</v>
      </c>
      <c r="C64" s="40"/>
      <c r="D64" s="40"/>
      <c r="E64" s="41"/>
      <c r="F64" s="133">
        <v>66000</v>
      </c>
      <c r="G64" s="134"/>
      <c r="H64" s="15">
        <v>5300</v>
      </c>
      <c r="I64" s="15">
        <v>5300</v>
      </c>
      <c r="J64" s="22">
        <v>5300</v>
      </c>
      <c r="K64" s="25">
        <v>5300</v>
      </c>
      <c r="L64" s="15">
        <v>5300</v>
      </c>
      <c r="M64" s="22">
        <v>5300</v>
      </c>
      <c r="N64" s="15">
        <v>5700</v>
      </c>
      <c r="O64" s="15">
        <v>5300</v>
      </c>
      <c r="P64" s="22">
        <v>5700</v>
      </c>
      <c r="Q64" s="15">
        <v>5700</v>
      </c>
      <c r="R64" s="15">
        <v>5700</v>
      </c>
      <c r="S64" s="22">
        <f>5700</f>
        <v>5700</v>
      </c>
      <c r="T64" s="31">
        <f t="shared" si="2"/>
        <v>65600</v>
      </c>
      <c r="U64" s="29"/>
      <c r="V64" s="44"/>
    </row>
    <row r="65" spans="1:22" ht="12.75">
      <c r="A65" s="15">
        <v>2.16</v>
      </c>
      <c r="B65" s="136" t="s">
        <v>236</v>
      </c>
      <c r="C65" s="143"/>
      <c r="D65" s="143"/>
      <c r="E65" s="134"/>
      <c r="F65" s="37"/>
      <c r="G65" s="38"/>
      <c r="H65" s="15"/>
      <c r="I65" s="15"/>
      <c r="J65" s="22"/>
      <c r="K65" s="25"/>
      <c r="L65" s="15"/>
      <c r="M65" s="22"/>
      <c r="N65" s="15"/>
      <c r="O65" s="15"/>
      <c r="P65" s="22"/>
      <c r="Q65" s="15">
        <v>10000</v>
      </c>
      <c r="R65" s="15"/>
      <c r="S65" s="22"/>
      <c r="T65" s="31">
        <f>Q65</f>
        <v>10000</v>
      </c>
      <c r="U65" s="29"/>
      <c r="V65" s="44"/>
    </row>
    <row r="66" spans="1:22" s="100" customFormat="1" ht="12.75">
      <c r="A66" s="95"/>
      <c r="B66" s="146" t="s">
        <v>8</v>
      </c>
      <c r="C66" s="147"/>
      <c r="D66" s="147"/>
      <c r="E66" s="148"/>
      <c r="F66" s="149">
        <f>SUM(F50:F64)</f>
        <v>1749986</v>
      </c>
      <c r="G66" s="150"/>
      <c r="H66" s="95">
        <f aca="true" t="shared" si="4" ref="H66:M66">SUM(H50:H64)</f>
        <v>70001.85</v>
      </c>
      <c r="I66" s="95">
        <f t="shared" si="4"/>
        <v>122614.57999999999</v>
      </c>
      <c r="J66" s="95">
        <f t="shared" si="4"/>
        <v>87260.98</v>
      </c>
      <c r="K66" s="95">
        <f t="shared" si="4"/>
        <v>99176.62000000001</v>
      </c>
      <c r="L66" s="95">
        <f t="shared" si="4"/>
        <v>104507.31</v>
      </c>
      <c r="M66" s="95">
        <f t="shared" si="4"/>
        <v>162001.5</v>
      </c>
      <c r="N66" s="95">
        <f aca="true" t="shared" si="5" ref="N66:S66">SUM(N50:N64)</f>
        <v>185132.64</v>
      </c>
      <c r="O66" s="95">
        <f t="shared" si="5"/>
        <v>91923.01</v>
      </c>
      <c r="P66" s="95">
        <f t="shared" si="5"/>
        <v>154706.48</v>
      </c>
      <c r="Q66" s="95">
        <f>SUM(Q50:Q65)</f>
        <v>191688.15</v>
      </c>
      <c r="R66" s="95">
        <f t="shared" si="5"/>
        <v>86596.44</v>
      </c>
      <c r="S66" s="95">
        <f t="shared" si="5"/>
        <v>311968.72000000003</v>
      </c>
      <c r="T66" s="97">
        <f>SUM(T50:T65)</f>
        <v>1667578.2799999998</v>
      </c>
      <c r="U66" s="98"/>
      <c r="V66" s="99" t="s">
        <v>89</v>
      </c>
    </row>
    <row r="67" spans="1:22" ht="12.75">
      <c r="A67" s="15"/>
      <c r="B67" s="52"/>
      <c r="C67" s="53"/>
      <c r="D67" s="53"/>
      <c r="E67" s="54"/>
      <c r="F67" s="37"/>
      <c r="G67" s="38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44"/>
      <c r="T67" s="44"/>
      <c r="U67" s="29"/>
      <c r="V67" s="44"/>
    </row>
    <row r="68" spans="1:22" ht="12.75">
      <c r="A68" s="47" t="s">
        <v>146</v>
      </c>
      <c r="B68" s="39"/>
      <c r="C68" s="40"/>
      <c r="D68" s="40"/>
      <c r="E68" s="41"/>
      <c r="F68" s="37"/>
      <c r="G68" s="38"/>
      <c r="H68" s="15"/>
      <c r="I68" s="15"/>
      <c r="J68" s="22"/>
      <c r="K68" s="25"/>
      <c r="L68" s="15"/>
      <c r="M68" s="22"/>
      <c r="N68" s="15"/>
      <c r="O68" s="15"/>
      <c r="P68" s="22"/>
      <c r="Q68" s="15"/>
      <c r="R68" s="15"/>
      <c r="S68" s="22"/>
      <c r="T68" s="31"/>
      <c r="U68" s="29"/>
      <c r="V68" s="44"/>
    </row>
    <row r="69" spans="1:22" ht="12.75">
      <c r="A69" s="15"/>
      <c r="B69" s="21" t="s">
        <v>121</v>
      </c>
      <c r="C69" s="21"/>
      <c r="D69" s="21"/>
      <c r="E69" s="21"/>
      <c r="F69" s="113">
        <v>60000</v>
      </c>
      <c r="G69" s="115"/>
      <c r="H69" s="15"/>
      <c r="I69" s="15"/>
      <c r="J69" s="17"/>
      <c r="K69" s="25"/>
      <c r="L69" s="15"/>
      <c r="M69" s="15"/>
      <c r="N69" s="15">
        <v>15000</v>
      </c>
      <c r="O69" s="15"/>
      <c r="P69" s="15"/>
      <c r="Q69" s="15">
        <v>15000</v>
      </c>
      <c r="R69" s="15"/>
      <c r="S69" s="15"/>
      <c r="T69" s="31">
        <f aca="true" t="shared" si="6" ref="T69:T76">H69+I69+J69+K69+L69+M69+N69+O69+P69+Q69+R69+S69</f>
        <v>30000</v>
      </c>
      <c r="U69" s="29"/>
      <c r="V69" s="44"/>
    </row>
    <row r="70" spans="1:22" ht="12.75">
      <c r="A70" s="15"/>
      <c r="B70" s="136" t="s">
        <v>196</v>
      </c>
      <c r="C70" s="137"/>
      <c r="D70" s="137"/>
      <c r="E70" s="138"/>
      <c r="F70" s="113">
        <v>12000</v>
      </c>
      <c r="G70" s="115"/>
      <c r="H70" s="22"/>
      <c r="I70" s="15"/>
      <c r="J70" s="22">
        <v>891.89</v>
      </c>
      <c r="K70" s="22">
        <f>2000</f>
        <v>2000</v>
      </c>
      <c r="L70" s="15"/>
      <c r="M70" s="22"/>
      <c r="N70" s="22">
        <v>2929.95</v>
      </c>
      <c r="O70" s="22"/>
      <c r="P70" s="22"/>
      <c r="Q70" s="22"/>
      <c r="R70" s="22"/>
      <c r="S70" s="22"/>
      <c r="T70" s="31">
        <f t="shared" si="6"/>
        <v>5821.84</v>
      </c>
      <c r="U70" s="29"/>
      <c r="V70" s="44"/>
    </row>
    <row r="71" spans="1:22" ht="12.75">
      <c r="A71" s="15"/>
      <c r="B71" s="21" t="s">
        <v>117</v>
      </c>
      <c r="C71" s="21"/>
      <c r="D71" s="21"/>
      <c r="E71" s="21"/>
      <c r="F71" s="113">
        <v>10000</v>
      </c>
      <c r="G71" s="115"/>
      <c r="H71" s="15"/>
      <c r="I71" s="15"/>
      <c r="J71" s="17"/>
      <c r="K71" s="25">
        <f>150.01+682.76+1907</f>
        <v>2739.77</v>
      </c>
      <c r="L71" s="15"/>
      <c r="M71" s="15"/>
      <c r="N71" s="15">
        <v>1907</v>
      </c>
      <c r="O71" s="22"/>
      <c r="P71" s="15"/>
      <c r="Q71" s="15">
        <v>1907</v>
      </c>
      <c r="R71" s="22"/>
      <c r="S71" s="15"/>
      <c r="T71" s="31">
        <f t="shared" si="6"/>
        <v>6553.77</v>
      </c>
      <c r="U71" s="29"/>
      <c r="V71" s="44"/>
    </row>
    <row r="72" spans="1:22" ht="12.75">
      <c r="A72" s="15"/>
      <c r="B72" s="21" t="s">
        <v>157</v>
      </c>
      <c r="C72" s="21"/>
      <c r="D72" s="21"/>
      <c r="E72" s="21"/>
      <c r="F72" s="113">
        <v>21000</v>
      </c>
      <c r="G72" s="115"/>
      <c r="H72" s="22"/>
      <c r="I72" s="22"/>
      <c r="J72" s="22">
        <v>5100</v>
      </c>
      <c r="K72" s="22"/>
      <c r="L72" s="22"/>
      <c r="M72" s="22">
        <v>5100</v>
      </c>
      <c r="N72" s="22"/>
      <c r="O72" s="22"/>
      <c r="P72" s="15">
        <v>5100</v>
      </c>
      <c r="Q72" s="22"/>
      <c r="R72" s="22"/>
      <c r="S72" s="22">
        <v>8533</v>
      </c>
      <c r="T72" s="31">
        <f t="shared" si="6"/>
        <v>23833</v>
      </c>
      <c r="U72" s="29"/>
      <c r="V72" s="44"/>
    </row>
    <row r="73" spans="1:22" ht="12.75">
      <c r="A73" s="15"/>
      <c r="B73" s="21" t="s">
        <v>113</v>
      </c>
      <c r="C73" s="21"/>
      <c r="D73" s="21"/>
      <c r="E73" s="21"/>
      <c r="F73" s="133">
        <v>210000</v>
      </c>
      <c r="G73" s="134"/>
      <c r="H73" s="22"/>
      <c r="I73" s="22"/>
      <c r="J73" s="22"/>
      <c r="K73" s="22"/>
      <c r="L73" s="22"/>
      <c r="M73" s="22"/>
      <c r="N73" s="22"/>
      <c r="O73" s="22">
        <v>98920.41</v>
      </c>
      <c r="P73" s="15">
        <f>99218+98920</f>
        <v>198138</v>
      </c>
      <c r="Q73" s="22">
        <f>99410.41+99410</f>
        <v>198820.41</v>
      </c>
      <c r="R73" s="22"/>
      <c r="S73" s="22"/>
      <c r="T73" s="31">
        <f t="shared" si="6"/>
        <v>495878.82000000007</v>
      </c>
      <c r="U73" s="29"/>
      <c r="V73" s="44"/>
    </row>
    <row r="74" spans="1:22" ht="12.75">
      <c r="A74" s="15"/>
      <c r="B74" s="39" t="s">
        <v>127</v>
      </c>
      <c r="C74" s="40"/>
      <c r="D74" s="40"/>
      <c r="E74" s="41"/>
      <c r="F74" s="133">
        <v>360000</v>
      </c>
      <c r="G74" s="134"/>
      <c r="H74" s="22"/>
      <c r="I74" s="22">
        <v>30000</v>
      </c>
      <c r="J74" s="22">
        <f>30000+30000</f>
        <v>60000</v>
      </c>
      <c r="K74" s="22"/>
      <c r="L74" s="22">
        <v>30000</v>
      </c>
      <c r="M74" s="22">
        <v>30000</v>
      </c>
      <c r="N74" s="22">
        <v>30000</v>
      </c>
      <c r="O74" s="22">
        <f>30000+30000</f>
        <v>60000</v>
      </c>
      <c r="P74" s="15">
        <f>20000</f>
        <v>20000</v>
      </c>
      <c r="Q74" s="22">
        <v>30000</v>
      </c>
      <c r="R74" s="22">
        <v>10000</v>
      </c>
      <c r="S74" s="22">
        <v>20000</v>
      </c>
      <c r="T74" s="31">
        <f t="shared" si="6"/>
        <v>320000</v>
      </c>
      <c r="U74" s="29"/>
      <c r="V74" s="44"/>
    </row>
    <row r="75" spans="1:22" ht="12.75">
      <c r="A75" s="15" t="s">
        <v>89</v>
      </c>
      <c r="B75" s="39" t="s">
        <v>198</v>
      </c>
      <c r="C75" s="40"/>
      <c r="D75" s="40"/>
      <c r="E75" s="41"/>
      <c r="F75" s="133">
        <v>230000</v>
      </c>
      <c r="G75" s="134"/>
      <c r="H75" s="22"/>
      <c r="I75" s="22"/>
      <c r="J75" s="22"/>
      <c r="K75" s="22"/>
      <c r="L75" s="22"/>
      <c r="M75" s="22"/>
      <c r="N75" s="22"/>
      <c r="O75" s="22"/>
      <c r="P75" s="15"/>
      <c r="Q75" s="22"/>
      <c r="R75" s="22"/>
      <c r="S75" s="22"/>
      <c r="T75" s="31">
        <f t="shared" si="6"/>
        <v>0</v>
      </c>
      <c r="U75" s="29"/>
      <c r="V75" s="44"/>
    </row>
    <row r="76" spans="1:22" ht="12.75">
      <c r="A76" s="15"/>
      <c r="B76" s="136" t="s">
        <v>197</v>
      </c>
      <c r="C76" s="137"/>
      <c r="D76" s="137"/>
      <c r="E76" s="138"/>
      <c r="F76" s="133">
        <v>25000</v>
      </c>
      <c r="G76" s="134"/>
      <c r="H76" s="22"/>
      <c r="I76" s="22"/>
      <c r="J76" s="22">
        <v>25000</v>
      </c>
      <c r="K76" s="22"/>
      <c r="L76" s="22"/>
      <c r="M76" s="22"/>
      <c r="N76" s="22"/>
      <c r="O76" s="22"/>
      <c r="P76" s="15"/>
      <c r="Q76" s="22"/>
      <c r="R76" s="22"/>
      <c r="S76" s="22"/>
      <c r="T76" s="31">
        <f t="shared" si="6"/>
        <v>25000</v>
      </c>
      <c r="U76" s="29"/>
      <c r="V76" s="44"/>
    </row>
    <row r="77" spans="1:22" ht="12.75">
      <c r="A77" s="15"/>
      <c r="B77" s="136" t="s">
        <v>238</v>
      </c>
      <c r="C77" s="143"/>
      <c r="D77" s="143"/>
      <c r="E77" s="134"/>
      <c r="F77" s="37"/>
      <c r="G77" s="38"/>
      <c r="H77" s="22"/>
      <c r="I77" s="22"/>
      <c r="J77" s="22"/>
      <c r="K77" s="22"/>
      <c r="L77" s="22"/>
      <c r="M77" s="22"/>
      <c r="N77" s="22"/>
      <c r="O77" s="22"/>
      <c r="P77" s="15"/>
      <c r="Q77" s="22"/>
      <c r="R77" s="22"/>
      <c r="S77" s="22">
        <v>32800</v>
      </c>
      <c r="T77" s="31">
        <v>32800</v>
      </c>
      <c r="U77" s="29"/>
      <c r="V77" s="44"/>
    </row>
    <row r="78" spans="1:22" ht="12.75">
      <c r="A78" s="15"/>
      <c r="B78" s="136"/>
      <c r="C78" s="137"/>
      <c r="D78" s="137"/>
      <c r="E78" s="138"/>
      <c r="F78" s="133"/>
      <c r="G78" s="134"/>
      <c r="H78" s="22"/>
      <c r="I78" s="22"/>
      <c r="J78" s="22"/>
      <c r="K78" s="22"/>
      <c r="L78" s="22"/>
      <c r="M78" s="22"/>
      <c r="N78" s="22"/>
      <c r="O78" s="22"/>
      <c r="P78" s="15"/>
      <c r="Q78" s="22"/>
      <c r="R78" s="22"/>
      <c r="S78" s="22"/>
      <c r="T78" s="31"/>
      <c r="U78" s="29"/>
      <c r="V78" s="44"/>
    </row>
    <row r="79" spans="1:22" s="104" customFormat="1" ht="12.75">
      <c r="A79" s="101"/>
      <c r="B79" s="151" t="s">
        <v>8</v>
      </c>
      <c r="C79" s="151"/>
      <c r="D79" s="151"/>
      <c r="E79" s="151"/>
      <c r="F79" s="152">
        <f>SUM(F69:F78)</f>
        <v>928000</v>
      </c>
      <c r="G79" s="151"/>
      <c r="H79" s="96">
        <f aca="true" t="shared" si="7" ref="H79:T79">SUM(H69:H78)</f>
        <v>0</v>
      </c>
      <c r="I79" s="96">
        <f t="shared" si="7"/>
        <v>30000</v>
      </c>
      <c r="J79" s="96">
        <f t="shared" si="7"/>
        <v>90991.89</v>
      </c>
      <c r="K79" s="96">
        <f t="shared" si="7"/>
        <v>4739.77</v>
      </c>
      <c r="L79" s="96">
        <f t="shared" si="7"/>
        <v>30000</v>
      </c>
      <c r="M79" s="96">
        <f t="shared" si="7"/>
        <v>35100</v>
      </c>
      <c r="N79" s="96">
        <f t="shared" si="7"/>
        <v>49836.95</v>
      </c>
      <c r="O79" s="96">
        <f t="shared" si="7"/>
        <v>158920.41</v>
      </c>
      <c r="P79" s="96">
        <f t="shared" si="7"/>
        <v>223238</v>
      </c>
      <c r="Q79" s="96">
        <f t="shared" si="7"/>
        <v>245727.41</v>
      </c>
      <c r="R79" s="96">
        <f t="shared" si="7"/>
        <v>10000</v>
      </c>
      <c r="S79" s="96">
        <f t="shared" si="7"/>
        <v>61333</v>
      </c>
      <c r="T79" s="96">
        <f t="shared" si="7"/>
        <v>939887.43</v>
      </c>
      <c r="U79" s="102">
        <f>SUM(U35:U72)</f>
        <v>0</v>
      </c>
      <c r="V79" s="103" t="s">
        <v>89</v>
      </c>
    </row>
    <row r="80" spans="1:22" ht="12.75">
      <c r="A80" s="15"/>
      <c r="B80" s="15"/>
      <c r="C80" s="15"/>
      <c r="D80" s="15"/>
      <c r="E80" s="15"/>
      <c r="F80" s="16"/>
      <c r="G80" s="16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31"/>
      <c r="V80" s="44"/>
    </row>
    <row r="81" spans="1:22" ht="12.75">
      <c r="A81" s="15"/>
      <c r="B81" s="15"/>
      <c r="C81" s="15"/>
      <c r="D81" s="15"/>
      <c r="E81" s="15"/>
      <c r="F81" s="16"/>
      <c r="G81" s="16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31"/>
      <c r="V81" s="44"/>
    </row>
    <row r="82" spans="1:22" ht="12.75">
      <c r="A82" s="15"/>
      <c r="B82" s="15"/>
      <c r="C82" s="15"/>
      <c r="D82" s="15"/>
      <c r="E82" s="15"/>
      <c r="F82" s="16"/>
      <c r="G82" s="16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31" t="s">
        <v>89</v>
      </c>
      <c r="V82" s="15"/>
    </row>
    <row r="83" spans="1:22" s="108" customFormat="1" ht="12.75">
      <c r="A83" s="105"/>
      <c r="B83" s="71" t="s">
        <v>128</v>
      </c>
      <c r="C83" s="70"/>
      <c r="D83" s="70"/>
      <c r="E83" s="70"/>
      <c r="F83" s="153">
        <f>F66+F79+F46</f>
        <v>3703751</v>
      </c>
      <c r="G83" s="154"/>
      <c r="H83" s="105">
        <f aca="true" t="shared" si="8" ref="H83:S83">H46+H66+H79</f>
        <v>128839.01000000001</v>
      </c>
      <c r="I83" s="105">
        <f t="shared" si="8"/>
        <v>259381.36999999997</v>
      </c>
      <c r="J83" s="105">
        <f t="shared" si="8"/>
        <v>278441.79000000004</v>
      </c>
      <c r="K83" s="105">
        <f t="shared" si="8"/>
        <v>157763.71</v>
      </c>
      <c r="L83" s="105">
        <f t="shared" si="8"/>
        <v>214047.86</v>
      </c>
      <c r="M83" s="105">
        <f t="shared" si="8"/>
        <v>276336.88</v>
      </c>
      <c r="N83" s="105">
        <f t="shared" si="8"/>
        <v>322190.52</v>
      </c>
      <c r="O83" s="105">
        <f t="shared" si="8"/>
        <v>331170.16000000003</v>
      </c>
      <c r="P83" s="105">
        <f t="shared" si="8"/>
        <v>488162.83</v>
      </c>
      <c r="Q83" s="105">
        <f t="shared" si="8"/>
        <v>505839.33999999997</v>
      </c>
      <c r="R83" s="105">
        <f t="shared" si="8"/>
        <v>151270.64</v>
      </c>
      <c r="S83" s="105">
        <f t="shared" si="8"/>
        <v>407954.88</v>
      </c>
      <c r="T83" s="106">
        <f>T66+T79+T46</f>
        <v>3521398.99</v>
      </c>
      <c r="U83" s="107"/>
      <c r="V83" s="105"/>
    </row>
    <row r="84" spans="1:20" ht="12.75" hidden="1">
      <c r="A84" s="15"/>
      <c r="B84" s="15"/>
      <c r="C84" s="15"/>
      <c r="D84" s="15"/>
      <c r="E84" s="15"/>
      <c r="F84" s="16"/>
      <c r="G84" s="16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31" t="s">
        <v>89</v>
      </c>
    </row>
    <row r="85" spans="1:20" ht="12.75">
      <c r="A85" s="15"/>
      <c r="B85" s="15"/>
      <c r="C85" s="15"/>
      <c r="D85" s="15"/>
      <c r="E85" s="15"/>
      <c r="F85" s="16"/>
      <c r="G85" s="16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31" t="s">
        <v>89</v>
      </c>
    </row>
    <row r="86" spans="1:20" ht="12.75" hidden="1">
      <c r="A86" s="15"/>
      <c r="B86" s="15" t="s">
        <v>62</v>
      </c>
      <c r="C86" s="15"/>
      <c r="D86" s="15"/>
      <c r="E86" s="15"/>
      <c r="F86" s="139" t="s">
        <v>57</v>
      </c>
      <c r="G86" s="140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31" t="s">
        <v>89</v>
      </c>
    </row>
    <row r="87" spans="1:20" ht="12.75" hidden="1">
      <c r="A87" s="15"/>
      <c r="B87" s="15"/>
      <c r="C87" s="15"/>
      <c r="D87" s="15"/>
      <c r="E87" s="15"/>
      <c r="F87" s="139" t="s">
        <v>63</v>
      </c>
      <c r="G87" s="140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31" t="s">
        <v>89</v>
      </c>
    </row>
    <row r="88" spans="1:22" ht="12.75">
      <c r="A88" s="28"/>
      <c r="B88" s="28"/>
      <c r="C88" s="28"/>
      <c r="D88" s="28"/>
      <c r="E88" s="28"/>
      <c r="F88" s="28"/>
      <c r="G88" s="28"/>
      <c r="H88" s="28">
        <f aca="true" t="shared" si="9" ref="H88:S88">H27-H79</f>
        <v>124141.06</v>
      </c>
      <c r="I88" s="28">
        <f t="shared" si="9"/>
        <v>94048.24</v>
      </c>
      <c r="J88" s="28">
        <f t="shared" si="9"/>
        <v>32812.44</v>
      </c>
      <c r="K88" s="28">
        <f t="shared" si="9"/>
        <v>198974.63</v>
      </c>
      <c r="L88" s="28">
        <f t="shared" si="9"/>
        <v>26395.690000000002</v>
      </c>
      <c r="M88" s="28">
        <f t="shared" si="9"/>
        <v>106636.60999999999</v>
      </c>
      <c r="N88" s="28">
        <f t="shared" si="9"/>
        <v>92606.46</v>
      </c>
      <c r="O88" s="28">
        <f t="shared" si="9"/>
        <v>65208.23999999999</v>
      </c>
      <c r="P88" s="28">
        <f t="shared" si="9"/>
        <v>-155413.07</v>
      </c>
      <c r="Q88" s="28">
        <f t="shared" si="9"/>
        <v>-87391.05000000002</v>
      </c>
      <c r="R88" s="28">
        <f t="shared" si="9"/>
        <v>121341.29999999999</v>
      </c>
      <c r="S88" s="28">
        <f t="shared" si="9"/>
        <v>2504145.5</v>
      </c>
      <c r="T88" s="31" t="s">
        <v>89</v>
      </c>
      <c r="U88" s="12"/>
      <c r="V88" s="10"/>
    </row>
    <row r="89" spans="2:20" ht="12.75" hidden="1">
      <c r="B89" t="s">
        <v>58</v>
      </c>
      <c r="E89" t="s">
        <v>59</v>
      </c>
      <c r="F89" s="8" t="s">
        <v>60</v>
      </c>
      <c r="T89" s="31" t="s">
        <v>89</v>
      </c>
    </row>
    <row r="90" ht="12.75" hidden="1">
      <c r="T90" s="31"/>
    </row>
    <row r="91" spans="2:20" ht="12.75" customHeight="1" hidden="1">
      <c r="B91" t="s">
        <v>85</v>
      </c>
      <c r="T91" s="31">
        <f>H91+I91+J91+K91+L91+M91+N91+O91+P91+Q91+R91+S91</f>
        <v>0</v>
      </c>
    </row>
    <row r="92" spans="2:20" ht="12.75" customHeight="1" hidden="1">
      <c r="B92" t="s">
        <v>94</v>
      </c>
      <c r="T92" s="31">
        <f aca="true" t="shared" si="10" ref="T92:T99">H92+I92+J92+K92+L92+M92+N92+O92+P92+Q92+R92+S92</f>
        <v>0</v>
      </c>
    </row>
    <row r="93" spans="2:20" ht="12.75" customHeight="1" hidden="1">
      <c r="B93" t="s">
        <v>132</v>
      </c>
      <c r="T93" s="31">
        <f t="shared" si="10"/>
        <v>0</v>
      </c>
    </row>
    <row r="94" spans="2:20" ht="12.75" customHeight="1" hidden="1">
      <c r="B94" t="s">
        <v>75</v>
      </c>
      <c r="H94" s="3"/>
      <c r="I94" s="3"/>
      <c r="L94" s="3"/>
      <c r="N94" s="3"/>
      <c r="Q94" s="3"/>
      <c r="T94" s="31">
        <f t="shared" si="10"/>
        <v>0</v>
      </c>
    </row>
    <row r="95" spans="2:20" ht="12.75" customHeight="1" hidden="1">
      <c r="B95" t="s">
        <v>77</v>
      </c>
      <c r="H95" s="3">
        <v>52884.9</v>
      </c>
      <c r="I95" s="3">
        <v>59502.02</v>
      </c>
      <c r="J95" s="3">
        <v>57735.39</v>
      </c>
      <c r="K95" s="3">
        <v>62592.25</v>
      </c>
      <c r="L95" s="3">
        <v>57553.02</v>
      </c>
      <c r="M95" s="3">
        <v>73167.49</v>
      </c>
      <c r="N95" s="3">
        <v>75352.83</v>
      </c>
      <c r="O95" s="3">
        <v>64552.53</v>
      </c>
      <c r="P95" s="3">
        <v>70436.44</v>
      </c>
      <c r="Q95" s="3">
        <v>66494.14</v>
      </c>
      <c r="R95" s="3">
        <v>66665.03</v>
      </c>
      <c r="S95" s="3">
        <v>73588.72</v>
      </c>
      <c r="T95" s="31">
        <f t="shared" si="10"/>
        <v>780524.7600000001</v>
      </c>
    </row>
    <row r="96" spans="2:20" ht="12.75" customHeight="1" hidden="1">
      <c r="B96" t="s">
        <v>78</v>
      </c>
      <c r="H96" s="3">
        <v>397891.08</v>
      </c>
      <c r="I96" s="3">
        <v>474531.01</v>
      </c>
      <c r="J96" s="3">
        <v>501769.6</v>
      </c>
      <c r="K96" s="3">
        <v>367790.1</v>
      </c>
      <c r="L96" s="43">
        <v>338110.25</v>
      </c>
      <c r="M96" s="3">
        <v>163893.02</v>
      </c>
      <c r="N96" s="3">
        <v>122746.63</v>
      </c>
      <c r="O96" s="3">
        <v>56519.81</v>
      </c>
      <c r="P96" s="3">
        <v>98936.37</v>
      </c>
      <c r="Q96" s="3">
        <v>130279.25</v>
      </c>
      <c r="R96" s="43">
        <v>283352.07</v>
      </c>
      <c r="S96" s="43">
        <v>403263.03</v>
      </c>
      <c r="T96" s="31">
        <f t="shared" si="10"/>
        <v>3339082.2199999997</v>
      </c>
    </row>
    <row r="97" spans="2:20" ht="12.75" customHeight="1" hidden="1">
      <c r="B97" t="s">
        <v>79</v>
      </c>
      <c r="I97" s="3">
        <v>14033.66</v>
      </c>
      <c r="J97" s="3">
        <f>14033.66+12174.03</f>
        <v>26207.690000000002</v>
      </c>
      <c r="K97" s="3"/>
      <c r="L97" s="3">
        <v>14151.76</v>
      </c>
      <c r="M97" s="3">
        <v>14151.76</v>
      </c>
      <c r="N97" s="3">
        <v>13445.21</v>
      </c>
      <c r="O97" s="3">
        <v>14500.62</v>
      </c>
      <c r="P97" s="3">
        <v>14698.8</v>
      </c>
      <c r="Q97" s="3">
        <v>13524.84</v>
      </c>
      <c r="R97" s="3">
        <v>13048.56</v>
      </c>
      <c r="S97" s="3">
        <v>14536.8</v>
      </c>
      <c r="T97" s="31">
        <f t="shared" si="10"/>
        <v>152299.7</v>
      </c>
    </row>
    <row r="98" spans="2:20" ht="12.75" customHeight="1" hidden="1">
      <c r="B98" t="s">
        <v>80</v>
      </c>
      <c r="R98" s="3"/>
      <c r="T98" s="31">
        <f t="shared" si="10"/>
        <v>0</v>
      </c>
    </row>
    <row r="99" spans="2:20" ht="12.75" customHeight="1" hidden="1">
      <c r="B99" t="s">
        <v>81</v>
      </c>
      <c r="H99" s="3"/>
      <c r="J99" s="3"/>
      <c r="M99" s="3"/>
      <c r="N99" s="3"/>
      <c r="Q99" s="3"/>
      <c r="S99" s="3"/>
      <c r="T99" s="31">
        <f t="shared" si="10"/>
        <v>0</v>
      </c>
    </row>
    <row r="100" spans="2:20" ht="12.75" customHeight="1" hidden="1">
      <c r="B100" t="s">
        <v>131</v>
      </c>
      <c r="K100" s="3"/>
      <c r="T100" s="31"/>
    </row>
    <row r="101" spans="2:20" ht="12.75" customHeight="1" hidden="1">
      <c r="B101" t="s">
        <v>84</v>
      </c>
      <c r="M101" s="3"/>
      <c r="T101" s="31"/>
    </row>
    <row r="102" spans="2:19" ht="12.75" customHeight="1" hidden="1">
      <c r="B102" t="s">
        <v>100</v>
      </c>
      <c r="H102" s="9"/>
      <c r="I102" s="9"/>
      <c r="J102" s="9"/>
      <c r="K102" s="9"/>
      <c r="R102" s="3"/>
      <c r="S102" s="3"/>
    </row>
    <row r="103" ht="12.75" customHeight="1" hidden="1">
      <c r="B103" t="s">
        <v>82</v>
      </c>
    </row>
    <row r="104" spans="2:21" s="3" customFormat="1" ht="12.75" customHeight="1" hidden="1">
      <c r="B104" s="3" t="s">
        <v>163</v>
      </c>
      <c r="F104" s="56"/>
      <c r="G104" s="56"/>
      <c r="H104" s="56"/>
      <c r="I104" s="57"/>
      <c r="J104" s="56"/>
      <c r="K104" s="57"/>
      <c r="L104" s="57"/>
      <c r="M104" s="57"/>
      <c r="N104" s="57"/>
      <c r="O104" s="57"/>
      <c r="P104" s="57"/>
      <c r="Q104" s="57"/>
      <c r="R104" s="57"/>
      <c r="S104" s="57"/>
      <c r="T104" s="31">
        <f>H104+I104+J104+K104+L104+M104+N104+O104+P104+Q104+R104+S104</f>
        <v>0</v>
      </c>
      <c r="U104" s="56"/>
    </row>
    <row r="105" ht="12.75" customHeight="1" hidden="1">
      <c r="B105" s="14" t="s">
        <v>91</v>
      </c>
    </row>
    <row r="106" ht="12.75" customHeight="1" hidden="1">
      <c r="B106" s="14" t="s">
        <v>92</v>
      </c>
    </row>
    <row r="107" ht="12.75" customHeight="1" hidden="1">
      <c r="B107" t="s">
        <v>93</v>
      </c>
    </row>
    <row r="108" ht="12.75" customHeight="1" hidden="1">
      <c r="B108" t="s">
        <v>94</v>
      </c>
    </row>
    <row r="109" ht="12.75" customHeight="1" hidden="1">
      <c r="B109" t="s">
        <v>95</v>
      </c>
    </row>
    <row r="110" ht="12.75" customHeight="1" hidden="1">
      <c r="B110" t="s">
        <v>81</v>
      </c>
    </row>
    <row r="111" ht="12.75" customHeight="1" hidden="1">
      <c r="B111" t="s">
        <v>96</v>
      </c>
    </row>
    <row r="112" ht="12.75" customHeight="1" hidden="1">
      <c r="B112" t="s">
        <v>97</v>
      </c>
    </row>
    <row r="113" spans="2:10" ht="12.75" customHeight="1" hidden="1">
      <c r="B113" t="s">
        <v>98</v>
      </c>
      <c r="J113" s="4"/>
    </row>
    <row r="114" ht="12.75" customHeight="1" hidden="1">
      <c r="B114" t="s">
        <v>99</v>
      </c>
    </row>
    <row r="115" ht="12.75" customHeight="1" hidden="1">
      <c r="B115" t="s">
        <v>235</v>
      </c>
    </row>
    <row r="116" ht="12.75" customHeight="1" hidden="1"/>
    <row r="117" ht="12.75" customHeight="1" hidden="1"/>
    <row r="118" spans="6:21" s="74" customFormat="1" ht="12.75" customHeight="1" hidden="1">
      <c r="F118" s="73"/>
      <c r="G118" s="73"/>
      <c r="H118" s="74">
        <f aca="true" t="shared" si="11" ref="H118:T118">SUM(H91:H117)+H83</f>
        <v>579614.99</v>
      </c>
      <c r="I118" s="74">
        <f t="shared" si="11"/>
        <v>807448.06</v>
      </c>
      <c r="J118" s="74">
        <f t="shared" si="11"/>
        <v>864154.47</v>
      </c>
      <c r="K118" s="74">
        <f t="shared" si="11"/>
        <v>588146.0599999999</v>
      </c>
      <c r="L118" s="74">
        <f t="shared" si="11"/>
        <v>623862.89</v>
      </c>
      <c r="M118" s="74">
        <f t="shared" si="11"/>
        <v>527549.15</v>
      </c>
      <c r="N118" s="74">
        <f t="shared" si="11"/>
        <v>533735.1900000001</v>
      </c>
      <c r="O118" s="74">
        <f t="shared" si="11"/>
        <v>466743.12</v>
      </c>
      <c r="P118" s="74">
        <f t="shared" si="11"/>
        <v>672234.44</v>
      </c>
      <c r="Q118" s="74">
        <f t="shared" si="11"/>
        <v>716137.57</v>
      </c>
      <c r="R118" s="74">
        <f t="shared" si="11"/>
        <v>514336.3</v>
      </c>
      <c r="S118" s="74">
        <f t="shared" si="11"/>
        <v>899343.4299999999</v>
      </c>
      <c r="T118" s="74">
        <f t="shared" si="11"/>
        <v>7793305.67</v>
      </c>
      <c r="U118" s="73"/>
    </row>
    <row r="119" ht="12.75" hidden="1"/>
    <row r="120" spans="2:20" s="75" customFormat="1" ht="12.75" hidden="1">
      <c r="B120" s="75" t="s">
        <v>160</v>
      </c>
      <c r="H120" s="75">
        <v>491479.99</v>
      </c>
      <c r="I120" s="75">
        <v>709104.64</v>
      </c>
      <c r="J120" s="75">
        <v>757957.47</v>
      </c>
      <c r="K120" s="76">
        <v>497010.06</v>
      </c>
      <c r="L120" s="76">
        <v>528614.68</v>
      </c>
      <c r="M120" s="76">
        <v>393752.65</v>
      </c>
      <c r="N120" s="76">
        <v>389839.71</v>
      </c>
      <c r="O120" s="76">
        <v>199950.15</v>
      </c>
      <c r="P120" s="76">
        <v>530544.71</v>
      </c>
      <c r="Q120" s="76">
        <v>560360.42</v>
      </c>
      <c r="R120" s="76">
        <v>422140.75</v>
      </c>
      <c r="S120" s="76">
        <v>677192.66</v>
      </c>
      <c r="T120" s="74"/>
    </row>
    <row r="121" spans="2:19" s="77" customFormat="1" ht="12.75" hidden="1">
      <c r="B121" s="77" t="s">
        <v>161</v>
      </c>
      <c r="H121" s="77">
        <v>88135</v>
      </c>
      <c r="I121" s="77">
        <v>93223.42</v>
      </c>
      <c r="J121" s="77">
        <f>5300+86748</f>
        <v>92048</v>
      </c>
      <c r="K121" s="77">
        <v>91136</v>
      </c>
      <c r="L121" s="77">
        <v>93920.23</v>
      </c>
      <c r="M121" s="77">
        <v>129111</v>
      </c>
      <c r="N121" s="77">
        <v>105103.48</v>
      </c>
      <c r="O121" s="77">
        <v>164394.82</v>
      </c>
      <c r="P121" s="77">
        <v>120474.73</v>
      </c>
      <c r="Q121" s="77">
        <v>153461.06</v>
      </c>
      <c r="R121" s="77">
        <v>92195.55</v>
      </c>
      <c r="S121" s="77">
        <v>94507.83</v>
      </c>
    </row>
    <row r="122" spans="2:20" s="9" customFormat="1" ht="12.75" hidden="1">
      <c r="B122" s="9" t="s">
        <v>162</v>
      </c>
      <c r="I122" s="9">
        <v>5120</v>
      </c>
      <c r="J122" s="9">
        <v>14149</v>
      </c>
      <c r="L122" s="9">
        <v>6075.82</v>
      </c>
      <c r="M122" s="9">
        <v>4685.5</v>
      </c>
      <c r="N122" s="9">
        <v>38792</v>
      </c>
      <c r="O122" s="9">
        <v>102398.15</v>
      </c>
      <c r="P122" s="9">
        <v>21215</v>
      </c>
      <c r="Q122" s="9">
        <v>2316.09</v>
      </c>
      <c r="S122" s="9">
        <v>52527.74</v>
      </c>
      <c r="T122" s="74"/>
    </row>
    <row r="123" ht="12.75" hidden="1"/>
    <row r="124" spans="8:20" s="78" customFormat="1" ht="12.75" hidden="1">
      <c r="H124" s="78">
        <f aca="true" t="shared" si="12" ref="H124:P124">SUM(H120:H123)</f>
        <v>579614.99</v>
      </c>
      <c r="I124" s="78">
        <f t="shared" si="12"/>
        <v>807448.06</v>
      </c>
      <c r="J124" s="78">
        <f t="shared" si="12"/>
        <v>864154.47</v>
      </c>
      <c r="K124" s="79">
        <f t="shared" si="12"/>
        <v>588146.06</v>
      </c>
      <c r="L124" s="79">
        <f t="shared" si="12"/>
        <v>628610.73</v>
      </c>
      <c r="M124" s="79">
        <f t="shared" si="12"/>
        <v>527549.15</v>
      </c>
      <c r="N124" s="79">
        <f t="shared" si="12"/>
        <v>533735.19</v>
      </c>
      <c r="O124" s="79">
        <f t="shared" si="12"/>
        <v>466743.12</v>
      </c>
      <c r="P124" s="79">
        <f t="shared" si="12"/>
        <v>672234.44</v>
      </c>
      <c r="Q124" s="79">
        <f>SUM(Q120:Q123)</f>
        <v>716137.57</v>
      </c>
      <c r="R124" s="79">
        <f>SUM(R120:R123)</f>
        <v>514336.3</v>
      </c>
      <c r="S124" s="79">
        <f>SUM(S120:S123)</f>
        <v>824228.23</v>
      </c>
      <c r="T124" s="74"/>
    </row>
    <row r="126" spans="5:7" ht="12.75">
      <c r="E126" s="16" t="s">
        <v>172</v>
      </c>
      <c r="F126" s="115" t="s">
        <v>184</v>
      </c>
      <c r="G126" s="118"/>
    </row>
    <row r="127" spans="2:7" ht="12.75">
      <c r="B127" s="145" t="s">
        <v>169</v>
      </c>
      <c r="C127" s="163"/>
      <c r="D127" s="81"/>
      <c r="E127" s="16">
        <v>9508.62</v>
      </c>
      <c r="F127" s="115">
        <v>8008.6</v>
      </c>
      <c r="G127" s="118"/>
    </row>
    <row r="128" spans="2:7" ht="12.75">
      <c r="B128" s="145" t="s">
        <v>170</v>
      </c>
      <c r="C128" s="163"/>
      <c r="D128" s="81"/>
      <c r="E128" s="16">
        <v>1645001.3</v>
      </c>
      <c r="F128" s="115">
        <v>2658259.52</v>
      </c>
      <c r="G128" s="118"/>
    </row>
    <row r="132" spans="2:21" ht="12.75" hidden="1">
      <c r="B132" s="164" t="s">
        <v>173</v>
      </c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</row>
    <row r="133" ht="12.75" hidden="1"/>
    <row r="134" spans="4:20" ht="27" customHeight="1" hidden="1">
      <c r="D134" s="85" t="s">
        <v>179</v>
      </c>
      <c r="E134" s="86" t="s">
        <v>180</v>
      </c>
      <c r="F134" s="87" t="s">
        <v>178</v>
      </c>
      <c r="G134" s="203" t="s">
        <v>181</v>
      </c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5"/>
    </row>
    <row r="135" spans="2:20" ht="12.75" hidden="1">
      <c r="B135" s="145" t="s">
        <v>174</v>
      </c>
      <c r="C135" s="141"/>
      <c r="D135" s="16"/>
      <c r="E135" s="16"/>
      <c r="F135" s="80"/>
      <c r="G135" s="144">
        <f>E135-F135</f>
        <v>0</v>
      </c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34"/>
    </row>
    <row r="136" spans="2:5" ht="12.75" hidden="1">
      <c r="B136" s="8"/>
      <c r="C136" s="8"/>
      <c r="D136" s="8"/>
      <c r="E136" s="8"/>
    </row>
    <row r="137" spans="2:20" ht="12.75" hidden="1">
      <c r="B137" s="145" t="s">
        <v>175</v>
      </c>
      <c r="C137" s="141"/>
      <c r="D137" s="16"/>
      <c r="E137" s="16"/>
      <c r="F137" s="80"/>
      <c r="G137" s="144">
        <f>E137-F137</f>
        <v>0</v>
      </c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34"/>
    </row>
    <row r="138" spans="2:5" ht="12.75" hidden="1">
      <c r="B138" s="8"/>
      <c r="C138" s="8"/>
      <c r="D138" s="8"/>
      <c r="E138" s="8"/>
    </row>
    <row r="139" spans="2:20" ht="12.75" hidden="1">
      <c r="B139" s="145" t="s">
        <v>176</v>
      </c>
      <c r="C139" s="141"/>
      <c r="D139" s="16"/>
      <c r="E139" s="16"/>
      <c r="F139" s="80"/>
      <c r="G139" s="144">
        <f>E139-F139</f>
        <v>0</v>
      </c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34"/>
    </row>
    <row r="140" spans="2:5" ht="12.75" hidden="1">
      <c r="B140" s="8"/>
      <c r="C140" s="8"/>
      <c r="D140" s="8"/>
      <c r="E140" s="8"/>
    </row>
    <row r="141" spans="2:20" ht="12.75" hidden="1">
      <c r="B141" s="145" t="s">
        <v>177</v>
      </c>
      <c r="C141" s="141"/>
      <c r="D141" s="16"/>
      <c r="E141" s="16"/>
      <c r="F141" s="80"/>
      <c r="G141" s="144">
        <f>E141-F141</f>
        <v>0</v>
      </c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34"/>
    </row>
    <row r="142" spans="2:20" ht="12.75" hidden="1">
      <c r="B142" s="145" t="s">
        <v>182</v>
      </c>
      <c r="C142" s="141"/>
      <c r="D142" s="16"/>
      <c r="E142" s="16"/>
      <c r="F142" s="16"/>
      <c r="G142" s="145">
        <f>SUM(G135:G141)</f>
        <v>0</v>
      </c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34"/>
    </row>
    <row r="143" ht="12.75" hidden="1"/>
    <row r="144" spans="2:7" ht="12.75" hidden="1">
      <c r="B144" s="145" t="s">
        <v>200</v>
      </c>
      <c r="C144" s="163"/>
      <c r="D144" s="163"/>
      <c r="E144" s="163"/>
      <c r="F144" s="163"/>
      <c r="G144" s="141"/>
    </row>
    <row r="145" spans="2:7" ht="12.75" hidden="1">
      <c r="B145" s="187"/>
      <c r="C145" s="188"/>
      <c r="D145" s="187" t="s">
        <v>201</v>
      </c>
      <c r="E145" s="188"/>
      <c r="F145" s="187" t="s">
        <v>202</v>
      </c>
      <c r="G145" s="188"/>
    </row>
    <row r="146" spans="2:7" ht="12.75" hidden="1">
      <c r="B146" s="189" t="s">
        <v>203</v>
      </c>
      <c r="C146" s="190"/>
      <c r="D146" s="187" t="s">
        <v>205</v>
      </c>
      <c r="E146" s="188"/>
      <c r="F146" s="187" t="s">
        <v>206</v>
      </c>
      <c r="G146" s="188"/>
    </row>
    <row r="147" spans="2:7" ht="12.75" hidden="1">
      <c r="B147" s="189" t="s">
        <v>174</v>
      </c>
      <c r="C147" s="190"/>
      <c r="D147" s="187" t="s">
        <v>229</v>
      </c>
      <c r="E147" s="188"/>
      <c r="F147" s="187" t="s">
        <v>230</v>
      </c>
      <c r="G147" s="188"/>
    </row>
    <row r="148" spans="2:7" ht="12.75" hidden="1">
      <c r="B148" s="189" t="s">
        <v>204</v>
      </c>
      <c r="C148" s="190"/>
      <c r="D148" s="187" t="s">
        <v>231</v>
      </c>
      <c r="E148" s="188"/>
      <c r="F148" s="187" t="s">
        <v>232</v>
      </c>
      <c r="G148" s="188"/>
    </row>
    <row r="149" spans="2:7" ht="12.75" hidden="1">
      <c r="B149" s="189" t="s">
        <v>176</v>
      </c>
      <c r="C149" s="190"/>
      <c r="D149" s="187" t="s">
        <v>233</v>
      </c>
      <c r="E149" s="188"/>
      <c r="F149" s="187" t="s">
        <v>234</v>
      </c>
      <c r="G149" s="188"/>
    </row>
    <row r="150" spans="2:7" ht="12.75" hidden="1">
      <c r="B150" s="93"/>
      <c r="C150" s="93"/>
      <c r="D150" s="94"/>
      <c r="E150" s="94"/>
      <c r="F150" s="94"/>
      <c r="G150" s="94"/>
    </row>
    <row r="151" spans="2:7" ht="12.75" hidden="1">
      <c r="B151" s="93"/>
      <c r="C151" s="93"/>
      <c r="D151" s="94"/>
      <c r="E151" s="94"/>
      <c r="F151" s="94"/>
      <c r="G151" s="94"/>
    </row>
    <row r="152" ht="12.75" hidden="1"/>
    <row r="153" spans="2:7" ht="12.75" hidden="1">
      <c r="B153" s="191" t="s">
        <v>207</v>
      </c>
      <c r="C153" s="192"/>
      <c r="D153" s="192"/>
      <c r="E153" s="192"/>
      <c r="F153" s="192"/>
      <c r="G153" s="193"/>
    </row>
    <row r="154" spans="2:7" ht="26.25" customHeight="1" hidden="1">
      <c r="B154" s="194"/>
      <c r="C154" s="195"/>
      <c r="D154" s="195"/>
      <c r="E154" s="195"/>
      <c r="F154" s="195"/>
      <c r="G154" s="196"/>
    </row>
    <row r="155" spans="2:7" ht="12.75" hidden="1">
      <c r="B155" s="180" t="s">
        <v>89</v>
      </c>
      <c r="C155" s="181"/>
      <c r="D155" s="182" t="s">
        <v>209</v>
      </c>
      <c r="E155" s="183"/>
      <c r="F155" s="187" t="s">
        <v>202</v>
      </c>
      <c r="G155" s="188"/>
    </row>
    <row r="156" spans="2:7" ht="12.75" hidden="1">
      <c r="B156" s="180" t="s">
        <v>174</v>
      </c>
      <c r="C156" s="181"/>
      <c r="D156" s="182" t="s">
        <v>210</v>
      </c>
      <c r="E156" s="183"/>
      <c r="F156" s="142" t="s">
        <v>210</v>
      </c>
      <c r="G156" s="184"/>
    </row>
    <row r="157" spans="2:7" ht="12.75" hidden="1">
      <c r="B157" s="180" t="s">
        <v>204</v>
      </c>
      <c r="C157" s="181"/>
      <c r="D157" s="182" t="s">
        <v>211</v>
      </c>
      <c r="E157" s="183"/>
      <c r="F157" s="142" t="s">
        <v>211</v>
      </c>
      <c r="G157" s="184"/>
    </row>
    <row r="158" spans="2:7" ht="12.75" hidden="1">
      <c r="B158" s="180" t="s">
        <v>208</v>
      </c>
      <c r="C158" s="181"/>
      <c r="D158" s="182" t="s">
        <v>212</v>
      </c>
      <c r="E158" s="183"/>
      <c r="F158" s="142" t="s">
        <v>213</v>
      </c>
      <c r="G158" s="184"/>
    </row>
    <row r="159" spans="2:7" ht="12.75" hidden="1">
      <c r="B159" s="185" t="s">
        <v>214</v>
      </c>
      <c r="C159" s="186"/>
      <c r="D159" s="187" t="s">
        <v>219</v>
      </c>
      <c r="E159" s="188"/>
      <c r="F159" s="187" t="s">
        <v>220</v>
      </c>
      <c r="G159" s="188"/>
    </row>
    <row r="160" spans="2:7" ht="12.75" hidden="1">
      <c r="B160" s="165" t="s">
        <v>225</v>
      </c>
      <c r="C160" s="166"/>
      <c r="D160" s="169" t="s">
        <v>215</v>
      </c>
      <c r="E160" s="170"/>
      <c r="F160" s="173" t="s">
        <v>216</v>
      </c>
      <c r="G160" s="177"/>
    </row>
    <row r="161" spans="2:7" ht="66" customHeight="1" hidden="1">
      <c r="B161" s="167"/>
      <c r="C161" s="168"/>
      <c r="D161" s="171"/>
      <c r="E161" s="172"/>
      <c r="F161" s="178"/>
      <c r="G161" s="179"/>
    </row>
    <row r="162" spans="2:7" ht="12.75" hidden="1">
      <c r="B162" s="165" t="s">
        <v>226</v>
      </c>
      <c r="C162" s="166"/>
      <c r="D162" s="169" t="s">
        <v>217</v>
      </c>
      <c r="E162" s="170"/>
      <c r="F162" s="173" t="s">
        <v>218</v>
      </c>
      <c r="G162" s="174"/>
    </row>
    <row r="163" spans="2:7" ht="63" customHeight="1" hidden="1">
      <c r="B163" s="167"/>
      <c r="C163" s="168"/>
      <c r="D163" s="171"/>
      <c r="E163" s="172"/>
      <c r="F163" s="175"/>
      <c r="G163" s="176"/>
    </row>
    <row r="164" spans="2:7" ht="12.75" hidden="1">
      <c r="B164" s="165" t="s">
        <v>227</v>
      </c>
      <c r="C164" s="166"/>
      <c r="D164" s="169" t="s">
        <v>222</v>
      </c>
      <c r="E164" s="170"/>
      <c r="F164" s="173" t="s">
        <v>221</v>
      </c>
      <c r="G164" s="174"/>
    </row>
    <row r="165" spans="2:7" ht="55.5" customHeight="1" hidden="1">
      <c r="B165" s="167"/>
      <c r="C165" s="168"/>
      <c r="D165" s="171"/>
      <c r="E165" s="172"/>
      <c r="F165" s="175"/>
      <c r="G165" s="176"/>
    </row>
    <row r="166" spans="2:7" ht="12.75" hidden="1">
      <c r="B166" s="165" t="s">
        <v>228</v>
      </c>
      <c r="C166" s="166"/>
      <c r="D166" s="169" t="s">
        <v>223</v>
      </c>
      <c r="E166" s="170"/>
      <c r="F166" s="173" t="s">
        <v>224</v>
      </c>
      <c r="G166" s="174"/>
    </row>
    <row r="167" spans="2:7" ht="51.75" customHeight="1" hidden="1">
      <c r="B167" s="167"/>
      <c r="C167" s="168"/>
      <c r="D167" s="171"/>
      <c r="E167" s="172"/>
      <c r="F167" s="175"/>
      <c r="G167" s="176"/>
    </row>
    <row r="168" spans="2:7" ht="15" customHeight="1" hidden="1">
      <c r="B168" s="90"/>
      <c r="C168" s="90"/>
      <c r="D168" s="91"/>
      <c r="E168" s="91"/>
      <c r="F168" s="92"/>
      <c r="G168" s="92"/>
    </row>
    <row r="169" spans="2:7" ht="15" customHeight="1" hidden="1">
      <c r="B169" s="90"/>
      <c r="C169" s="90"/>
      <c r="D169" s="91"/>
      <c r="E169" s="91"/>
      <c r="F169" s="92"/>
      <c r="G169" s="92"/>
    </row>
    <row r="170" ht="12.75" hidden="1"/>
    <row r="171" spans="2:20" ht="12.75" hidden="1">
      <c r="B171" s="15" t="s">
        <v>62</v>
      </c>
      <c r="C171" s="15"/>
      <c r="D171" s="15"/>
      <c r="E171" s="15"/>
      <c r="F171" s="139" t="s">
        <v>57</v>
      </c>
      <c r="G171" s="140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31" t="s">
        <v>89</v>
      </c>
    </row>
    <row r="172" spans="2:20" ht="12.75" hidden="1">
      <c r="B172" s="15"/>
      <c r="C172" s="15"/>
      <c r="D172" s="15"/>
      <c r="E172" s="15"/>
      <c r="F172" s="139" t="s">
        <v>63</v>
      </c>
      <c r="G172" s="140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31" t="s">
        <v>89</v>
      </c>
    </row>
    <row r="173" ht="12.75" hidden="1"/>
    <row r="174" spans="2:20" ht="12.75" hidden="1">
      <c r="B174" t="s">
        <v>58</v>
      </c>
      <c r="E174" t="s">
        <v>59</v>
      </c>
      <c r="F174" s="8" t="s">
        <v>60</v>
      </c>
      <c r="T174" s="31" t="s">
        <v>89</v>
      </c>
    </row>
    <row r="175" spans="2:21" ht="12.75">
      <c r="B175" s="164" t="s">
        <v>173</v>
      </c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</row>
    <row r="177" spans="4:20" ht="30.75">
      <c r="D177" s="83" t="s">
        <v>179</v>
      </c>
      <c r="E177" s="82" t="s">
        <v>180</v>
      </c>
      <c r="F177" s="84" t="s">
        <v>178</v>
      </c>
      <c r="G177" s="142" t="s">
        <v>181</v>
      </c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34"/>
    </row>
    <row r="178" spans="2:20" ht="12.75">
      <c r="B178" s="145" t="s">
        <v>174</v>
      </c>
      <c r="C178" s="141"/>
      <c r="D178" s="16">
        <v>319683</v>
      </c>
      <c r="E178" s="16">
        <f>311320+9576</f>
        <v>320896</v>
      </c>
      <c r="F178" s="80">
        <v>339693</v>
      </c>
      <c r="G178" s="144">
        <f>E178-F178</f>
        <v>-18797</v>
      </c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34"/>
    </row>
    <row r="179" spans="2:5" ht="12.75">
      <c r="B179" s="8"/>
      <c r="C179" s="8"/>
      <c r="D179" s="8"/>
      <c r="E179" s="8"/>
    </row>
    <row r="180" spans="2:20" ht="12.75">
      <c r="B180" s="145" t="s">
        <v>175</v>
      </c>
      <c r="C180" s="141"/>
      <c r="D180" s="16">
        <v>484840</v>
      </c>
      <c r="E180" s="16">
        <f>471029+14448</f>
        <v>485477</v>
      </c>
      <c r="F180" s="80">
        <v>460571</v>
      </c>
      <c r="G180" s="144">
        <f>E180-F180</f>
        <v>24906</v>
      </c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34"/>
    </row>
    <row r="181" spans="2:5" ht="12.75">
      <c r="B181" s="8"/>
      <c r="C181" s="8"/>
      <c r="D181" s="8"/>
      <c r="E181" s="8"/>
    </row>
    <row r="182" spans="2:20" ht="12.75">
      <c r="B182" s="145" t="s">
        <v>176</v>
      </c>
      <c r="C182" s="141"/>
      <c r="D182" s="16">
        <v>1130038</v>
      </c>
      <c r="E182" s="16">
        <f>1086798+33264</f>
        <v>1120062</v>
      </c>
      <c r="F182" s="80">
        <v>888900</v>
      </c>
      <c r="G182" s="144">
        <f>E182-F182</f>
        <v>231162</v>
      </c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34"/>
    </row>
    <row r="183" spans="2:5" ht="12.75">
      <c r="B183" s="8"/>
      <c r="C183" s="8"/>
      <c r="D183" s="8"/>
      <c r="E183" s="8"/>
    </row>
    <row r="184" spans="2:20" ht="12.75">
      <c r="B184" s="145" t="s">
        <v>177</v>
      </c>
      <c r="C184" s="141"/>
      <c r="D184" s="16">
        <v>2752578</v>
      </c>
      <c r="E184" s="16">
        <f>2626720+83892</f>
        <v>2710612</v>
      </c>
      <c r="F184" s="80">
        <v>2523402</v>
      </c>
      <c r="G184" s="144">
        <f>E184-F184</f>
        <v>187210</v>
      </c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34"/>
    </row>
    <row r="185" spans="2:20" ht="12.75">
      <c r="B185" s="145" t="s">
        <v>182</v>
      </c>
      <c r="C185" s="141"/>
      <c r="D185" s="16">
        <f>SUM(D178:D184)</f>
        <v>4687139</v>
      </c>
      <c r="E185" s="16">
        <f>SUM(E178:E184)</f>
        <v>4637047</v>
      </c>
      <c r="F185" s="16">
        <f>SUM(F178:F184)</f>
        <v>4212566</v>
      </c>
      <c r="G185" s="145">
        <f>SUM(G178:G184)</f>
        <v>424481</v>
      </c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34"/>
    </row>
    <row r="188" spans="1:20" ht="12.75">
      <c r="A188" s="15"/>
      <c r="B188" s="15" t="s">
        <v>62</v>
      </c>
      <c r="C188" s="15"/>
      <c r="D188" s="15"/>
      <c r="E188" s="15"/>
      <c r="F188" s="139" t="s">
        <v>57</v>
      </c>
      <c r="G188" s="140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31" t="s">
        <v>89</v>
      </c>
    </row>
    <row r="189" spans="1:20" ht="12.75">
      <c r="A189" s="15"/>
      <c r="B189" s="15"/>
      <c r="C189" s="15"/>
      <c r="D189" s="15"/>
      <c r="E189" s="15"/>
      <c r="F189" s="139" t="s">
        <v>63</v>
      </c>
      <c r="G189" s="140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31" t="s">
        <v>89</v>
      </c>
    </row>
  </sheetData>
  <sheetProtection/>
  <mergeCells count="174">
    <mergeCell ref="F188:G188"/>
    <mergeCell ref="F189:G189"/>
    <mergeCell ref="B182:C182"/>
    <mergeCell ref="G182:T182"/>
    <mergeCell ref="B184:C184"/>
    <mergeCell ref="G184:T184"/>
    <mergeCell ref="B185:C185"/>
    <mergeCell ref="G185:T185"/>
    <mergeCell ref="B175:U175"/>
    <mergeCell ref="G177:T177"/>
    <mergeCell ref="B178:C178"/>
    <mergeCell ref="G178:T178"/>
    <mergeCell ref="B180:C180"/>
    <mergeCell ref="G180:T180"/>
    <mergeCell ref="B142:C142"/>
    <mergeCell ref="G142:T142"/>
    <mergeCell ref="F171:G171"/>
    <mergeCell ref="F172:G172"/>
    <mergeCell ref="F18:G18"/>
    <mergeCell ref="F15:G15"/>
    <mergeCell ref="B132:U132"/>
    <mergeCell ref="G134:T134"/>
    <mergeCell ref="B135:C135"/>
    <mergeCell ref="G135:T135"/>
    <mergeCell ref="B137:C137"/>
    <mergeCell ref="G137:T137"/>
    <mergeCell ref="B139:C139"/>
    <mergeCell ref="G139:T139"/>
    <mergeCell ref="B141:C141"/>
    <mergeCell ref="G141:T141"/>
    <mergeCell ref="B128:C128"/>
    <mergeCell ref="F128:G128"/>
    <mergeCell ref="F83:G83"/>
    <mergeCell ref="F86:G86"/>
    <mergeCell ref="F87:G87"/>
    <mergeCell ref="F126:G126"/>
    <mergeCell ref="B127:C127"/>
    <mergeCell ref="F127:G127"/>
    <mergeCell ref="F75:G75"/>
    <mergeCell ref="B76:E76"/>
    <mergeCell ref="F76:G76"/>
    <mergeCell ref="B78:E78"/>
    <mergeCell ref="F78:G78"/>
    <mergeCell ref="B79:E79"/>
    <mergeCell ref="F79:G79"/>
    <mergeCell ref="B77:E77"/>
    <mergeCell ref="F69:G69"/>
    <mergeCell ref="F70:G70"/>
    <mergeCell ref="F71:G71"/>
    <mergeCell ref="F72:G72"/>
    <mergeCell ref="F73:G73"/>
    <mergeCell ref="F74:G74"/>
    <mergeCell ref="B60:E60"/>
    <mergeCell ref="F60:G60"/>
    <mergeCell ref="B61:E61"/>
    <mergeCell ref="F61:G61"/>
    <mergeCell ref="B66:E66"/>
    <mergeCell ref="F66:G66"/>
    <mergeCell ref="F62:G62"/>
    <mergeCell ref="F63:G63"/>
    <mergeCell ref="F64:G64"/>
    <mergeCell ref="B65:E65"/>
    <mergeCell ref="B56:E56"/>
    <mergeCell ref="F56:G56"/>
    <mergeCell ref="F57:G57"/>
    <mergeCell ref="B58:E58"/>
    <mergeCell ref="F58:G58"/>
    <mergeCell ref="B59:E59"/>
    <mergeCell ref="F59:G59"/>
    <mergeCell ref="B53:E53"/>
    <mergeCell ref="F53:G53"/>
    <mergeCell ref="B54:E54"/>
    <mergeCell ref="F54:G54"/>
    <mergeCell ref="B55:E55"/>
    <mergeCell ref="F55:G55"/>
    <mergeCell ref="B50:E50"/>
    <mergeCell ref="F50:G50"/>
    <mergeCell ref="B51:E51"/>
    <mergeCell ref="F51:G51"/>
    <mergeCell ref="B52:E52"/>
    <mergeCell ref="F52:G52"/>
    <mergeCell ref="B44:E44"/>
    <mergeCell ref="F44:G44"/>
    <mergeCell ref="F46:G46"/>
    <mergeCell ref="B48:E48"/>
    <mergeCell ref="F48:G48"/>
    <mergeCell ref="B49:E49"/>
    <mergeCell ref="F49:G49"/>
    <mergeCell ref="B41:E41"/>
    <mergeCell ref="F41:G41"/>
    <mergeCell ref="B42:E42"/>
    <mergeCell ref="F42:G42"/>
    <mergeCell ref="B43:E43"/>
    <mergeCell ref="F43:G43"/>
    <mergeCell ref="B38:E38"/>
    <mergeCell ref="F38:G38"/>
    <mergeCell ref="B39:E39"/>
    <mergeCell ref="F39:G39"/>
    <mergeCell ref="B40:E40"/>
    <mergeCell ref="F40:G40"/>
    <mergeCell ref="B31:V31"/>
    <mergeCell ref="B34:E34"/>
    <mergeCell ref="B35:E35"/>
    <mergeCell ref="F35:G35"/>
    <mergeCell ref="F36:G36"/>
    <mergeCell ref="B37:E37"/>
    <mergeCell ref="F37:G37"/>
    <mergeCell ref="B25:E25"/>
    <mergeCell ref="F25:G25"/>
    <mergeCell ref="F26:G26"/>
    <mergeCell ref="B27:E27"/>
    <mergeCell ref="F27:G27"/>
    <mergeCell ref="A29:C29"/>
    <mergeCell ref="F19:G19"/>
    <mergeCell ref="B22:E22"/>
    <mergeCell ref="F22:G22"/>
    <mergeCell ref="F20:G20"/>
    <mergeCell ref="F21:G21"/>
    <mergeCell ref="B24:E24"/>
    <mergeCell ref="F24:G24"/>
    <mergeCell ref="B70:E70"/>
    <mergeCell ref="A9:AC9"/>
    <mergeCell ref="A2:W2"/>
    <mergeCell ref="A3:V3"/>
    <mergeCell ref="A12:J12"/>
    <mergeCell ref="A13:K13"/>
    <mergeCell ref="A15:C15"/>
    <mergeCell ref="B17:E17"/>
    <mergeCell ref="F17:G17"/>
    <mergeCell ref="B19:E19"/>
    <mergeCell ref="B144:G144"/>
    <mergeCell ref="B145:C145"/>
    <mergeCell ref="B146:C146"/>
    <mergeCell ref="B147:C147"/>
    <mergeCell ref="F145:G145"/>
    <mergeCell ref="F146:G146"/>
    <mergeCell ref="F147:G147"/>
    <mergeCell ref="D145:E145"/>
    <mergeCell ref="D146:E146"/>
    <mergeCell ref="D147:E147"/>
    <mergeCell ref="B155:C155"/>
    <mergeCell ref="D155:E155"/>
    <mergeCell ref="F155:G155"/>
    <mergeCell ref="B148:C148"/>
    <mergeCell ref="B149:C149"/>
    <mergeCell ref="D149:E149"/>
    <mergeCell ref="D148:E148"/>
    <mergeCell ref="F148:G148"/>
    <mergeCell ref="F149:G149"/>
    <mergeCell ref="B153:G154"/>
    <mergeCell ref="B156:C156"/>
    <mergeCell ref="D156:E156"/>
    <mergeCell ref="F156:G156"/>
    <mergeCell ref="B157:C157"/>
    <mergeCell ref="D157:E157"/>
    <mergeCell ref="F157:G157"/>
    <mergeCell ref="B158:C158"/>
    <mergeCell ref="D158:E158"/>
    <mergeCell ref="F158:G158"/>
    <mergeCell ref="B159:C159"/>
    <mergeCell ref="D159:E159"/>
    <mergeCell ref="F159:G159"/>
    <mergeCell ref="B160:C161"/>
    <mergeCell ref="D160:E161"/>
    <mergeCell ref="F160:G161"/>
    <mergeCell ref="B162:C163"/>
    <mergeCell ref="D162:E163"/>
    <mergeCell ref="F162:G163"/>
    <mergeCell ref="B164:C165"/>
    <mergeCell ref="B166:C167"/>
    <mergeCell ref="D164:E165"/>
    <mergeCell ref="F164:G165"/>
    <mergeCell ref="D166:E167"/>
    <mergeCell ref="F166:G1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191"/>
  <sheetViews>
    <sheetView tabSelected="1" zoomScalePageLayoutView="0" workbookViewId="0" topLeftCell="A81">
      <selection activeCell="A171" sqref="A171:IV191"/>
    </sheetView>
  </sheetViews>
  <sheetFormatPr defaultColWidth="9.00390625" defaultRowHeight="12.75"/>
  <cols>
    <col min="1" max="1" width="9.875" style="0" customWidth="1"/>
    <col min="2" max="2" width="7.25390625" style="0" customWidth="1"/>
    <col min="3" max="3" width="9.625" style="0" customWidth="1"/>
    <col min="4" max="4" width="10.50390625" style="0" customWidth="1"/>
    <col min="5" max="5" width="15.875" style="0" customWidth="1"/>
    <col min="6" max="6" width="9.50390625" style="8" bestFit="1" customWidth="1"/>
    <col min="7" max="7" width="9.625" style="8" customWidth="1"/>
    <col min="8" max="8" width="12.125" style="0" hidden="1" customWidth="1"/>
    <col min="9" max="9" width="10.50390625" style="0" hidden="1" customWidth="1"/>
    <col min="10" max="10" width="10.625" style="0" hidden="1" customWidth="1"/>
    <col min="11" max="11" width="10.00390625" style="0" hidden="1" customWidth="1"/>
    <col min="12" max="12" width="11.125" style="0" hidden="1" customWidth="1"/>
    <col min="13" max="14" width="10.50390625" style="0" hidden="1" customWidth="1"/>
    <col min="15" max="15" width="10.25390625" style="0" hidden="1" customWidth="1"/>
    <col min="16" max="16" width="10.50390625" style="0" hidden="1" customWidth="1"/>
    <col min="17" max="17" width="10.875" style="0" hidden="1" customWidth="1"/>
    <col min="18" max="19" width="11.25390625" style="0" hidden="1" customWidth="1"/>
    <col min="20" max="20" width="12.50390625" style="11" customWidth="1"/>
  </cols>
  <sheetData>
    <row r="2" spans="6:20" ht="12.75">
      <c r="F2"/>
      <c r="G2"/>
      <c r="T2"/>
    </row>
    <row r="3" spans="6:20" ht="12.75">
      <c r="F3"/>
      <c r="G3"/>
      <c r="T3"/>
    </row>
    <row r="4" ht="12.75">
      <c r="S4">
        <v>0</v>
      </c>
    </row>
    <row r="5" spans="1:6" ht="12.75">
      <c r="A5" t="s">
        <v>31</v>
      </c>
      <c r="F5" s="8" t="s">
        <v>32</v>
      </c>
    </row>
    <row r="6" spans="1:6" ht="12.75">
      <c r="A6" t="s">
        <v>158</v>
      </c>
      <c r="F6" s="8" t="s">
        <v>34</v>
      </c>
    </row>
    <row r="7" spans="1:6" ht="12.75">
      <c r="A7" t="s">
        <v>40</v>
      </c>
      <c r="F7" s="8" t="s">
        <v>35</v>
      </c>
    </row>
    <row r="8" ht="12.75">
      <c r="F8" s="8" t="s">
        <v>36</v>
      </c>
    </row>
    <row r="9" spans="6:20" ht="12.75">
      <c r="F9"/>
      <c r="G9"/>
      <c r="T9"/>
    </row>
    <row r="10" ht="12.75">
      <c r="A10" s="6" t="s">
        <v>39</v>
      </c>
    </row>
    <row r="12" spans="1:10" ht="21">
      <c r="A12" s="120" t="s">
        <v>0</v>
      </c>
      <c r="B12" s="120"/>
      <c r="C12" s="120"/>
      <c r="D12" s="120"/>
      <c r="E12" s="120"/>
      <c r="F12" s="120"/>
      <c r="G12" s="120"/>
      <c r="H12" s="120"/>
      <c r="I12" s="120"/>
      <c r="J12" s="120"/>
    </row>
    <row r="13" spans="1:11" ht="15">
      <c r="A13" s="121" t="s">
        <v>239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</row>
    <row r="14" ht="12.75">
      <c r="J14" s="3"/>
    </row>
    <row r="15" spans="1:20" ht="17.25">
      <c r="A15" s="119" t="s">
        <v>2</v>
      </c>
      <c r="B15" s="119"/>
      <c r="C15" s="119"/>
      <c r="D15" s="15"/>
      <c r="E15" s="15"/>
      <c r="F15" s="201" t="s">
        <v>105</v>
      </c>
      <c r="G15" s="202"/>
      <c r="H15" s="15" t="s">
        <v>65</v>
      </c>
      <c r="I15" s="15" t="s">
        <v>66</v>
      </c>
      <c r="J15" s="17" t="s">
        <v>67</v>
      </c>
      <c r="K15" s="15" t="s">
        <v>68</v>
      </c>
      <c r="L15" s="15" t="s">
        <v>69</v>
      </c>
      <c r="M15" s="15" t="s">
        <v>70</v>
      </c>
      <c r="N15" s="15" t="s">
        <v>72</v>
      </c>
      <c r="O15" s="15" t="s">
        <v>73</v>
      </c>
      <c r="P15" s="15" t="s">
        <v>74</v>
      </c>
      <c r="Q15" s="15" t="s">
        <v>86</v>
      </c>
      <c r="R15" s="15" t="s">
        <v>87</v>
      </c>
      <c r="S15" s="15" t="s">
        <v>88</v>
      </c>
      <c r="T15" s="18" t="s">
        <v>106</v>
      </c>
    </row>
    <row r="16" spans="1:20" ht="12.75">
      <c r="A16" s="15"/>
      <c r="B16" s="15"/>
      <c r="C16" s="15"/>
      <c r="D16" s="15"/>
      <c r="E16" s="15"/>
      <c r="F16" s="16"/>
      <c r="G16" s="16"/>
      <c r="H16" s="15"/>
      <c r="I16" s="15"/>
      <c r="J16" s="17"/>
      <c r="K16" s="15"/>
      <c r="L16" s="15"/>
      <c r="M16" s="15"/>
      <c r="N16" s="15"/>
      <c r="O16" s="15"/>
      <c r="P16" s="15"/>
      <c r="Q16" s="15"/>
      <c r="R16" s="15"/>
      <c r="S16" s="15"/>
      <c r="T16" s="18"/>
    </row>
    <row r="17" spans="1:20" ht="12.75">
      <c r="A17" s="15">
        <v>1</v>
      </c>
      <c r="B17" s="118" t="s">
        <v>3</v>
      </c>
      <c r="C17" s="118"/>
      <c r="D17" s="118"/>
      <c r="E17" s="118"/>
      <c r="F17" s="113">
        <v>1648800</v>
      </c>
      <c r="G17" s="113"/>
      <c r="H17" s="15"/>
      <c r="I17" s="15"/>
      <c r="J17" s="17"/>
      <c r="K17" s="15"/>
      <c r="L17" s="15"/>
      <c r="M17" s="15"/>
      <c r="N17" s="15"/>
      <c r="O17" s="44"/>
      <c r="P17" s="44"/>
      <c r="Q17" s="44"/>
      <c r="R17" s="15"/>
      <c r="S17" s="15"/>
      <c r="T17" s="31"/>
    </row>
    <row r="18" spans="1:20" ht="12.75">
      <c r="A18" s="15">
        <v>2</v>
      </c>
      <c r="B18" s="19" t="s">
        <v>191</v>
      </c>
      <c r="C18" s="19"/>
      <c r="D18" s="19"/>
      <c r="E18" s="19"/>
      <c r="F18" s="133">
        <v>24000</v>
      </c>
      <c r="G18" s="200"/>
      <c r="H18" s="15"/>
      <c r="I18" s="15"/>
      <c r="J18" s="17"/>
      <c r="K18" s="15"/>
      <c r="L18" s="15"/>
      <c r="M18" s="15"/>
      <c r="N18" s="15"/>
      <c r="O18" s="44"/>
      <c r="P18" s="44"/>
      <c r="Q18" s="44"/>
      <c r="R18" s="15"/>
      <c r="S18" s="15"/>
      <c r="T18" s="31"/>
    </row>
    <row r="19" spans="1:20" ht="12.75">
      <c r="A19" s="15">
        <v>3</v>
      </c>
      <c r="B19" s="199" t="s">
        <v>185</v>
      </c>
      <c r="C19" s="118"/>
      <c r="D19" s="118"/>
      <c r="E19" s="118"/>
      <c r="F19" s="113">
        <v>2419736</v>
      </c>
      <c r="G19" s="113"/>
      <c r="H19" s="15"/>
      <c r="I19" s="15"/>
      <c r="J19" s="17"/>
      <c r="K19" s="15"/>
      <c r="L19" s="15"/>
      <c r="M19" s="15"/>
      <c r="N19" s="15"/>
      <c r="O19" s="15"/>
      <c r="P19" s="44"/>
      <c r="Q19" s="44"/>
      <c r="R19" s="15"/>
      <c r="S19" s="15"/>
      <c r="T19" s="31"/>
    </row>
    <row r="20" spans="1:20" ht="12.75">
      <c r="A20" s="15">
        <v>4</v>
      </c>
      <c r="B20" s="88" t="s">
        <v>186</v>
      </c>
      <c r="C20" s="19"/>
      <c r="D20" s="19"/>
      <c r="E20" s="19"/>
      <c r="F20" s="133">
        <v>55200</v>
      </c>
      <c r="G20" s="200"/>
      <c r="H20" s="15"/>
      <c r="I20" s="15"/>
      <c r="J20" s="17"/>
      <c r="K20" s="15"/>
      <c r="L20" s="15"/>
      <c r="M20" s="15"/>
      <c r="N20" s="15"/>
      <c r="O20" s="15"/>
      <c r="P20" s="44"/>
      <c r="Q20" s="44"/>
      <c r="R20" s="15"/>
      <c r="S20" s="15"/>
      <c r="T20" s="31"/>
    </row>
    <row r="21" spans="1:20" ht="12.75">
      <c r="A21" s="15">
        <v>5</v>
      </c>
      <c r="B21" s="89" t="s">
        <v>187</v>
      </c>
      <c r="C21" s="19"/>
      <c r="D21" s="19"/>
      <c r="E21" s="19"/>
      <c r="F21" s="133">
        <v>66000</v>
      </c>
      <c r="G21" s="200"/>
      <c r="H21" s="15"/>
      <c r="I21" s="15"/>
      <c r="J21" s="17"/>
      <c r="K21" s="15"/>
      <c r="L21" s="15"/>
      <c r="M21" s="15"/>
      <c r="N21" s="15"/>
      <c r="O21" s="15"/>
      <c r="P21" s="44"/>
      <c r="Q21" s="44"/>
      <c r="R21" s="15"/>
      <c r="S21" s="15"/>
      <c r="T21" s="31"/>
    </row>
    <row r="22" spans="1:20" ht="12.75" hidden="1">
      <c r="A22" s="15">
        <v>6</v>
      </c>
      <c r="B22" s="118" t="s">
        <v>199</v>
      </c>
      <c r="C22" s="118"/>
      <c r="D22" s="118"/>
      <c r="E22" s="118"/>
      <c r="F22" s="113"/>
      <c r="G22" s="113"/>
      <c r="H22" s="15"/>
      <c r="I22" s="15"/>
      <c r="J22" s="17"/>
      <c r="K22" s="15"/>
      <c r="L22" s="15"/>
      <c r="M22" s="15"/>
      <c r="N22" s="15"/>
      <c r="O22" s="15"/>
      <c r="P22" s="44"/>
      <c r="Q22" s="44"/>
      <c r="R22" s="15"/>
      <c r="S22" s="15"/>
      <c r="T22" s="31"/>
    </row>
    <row r="23" spans="1:20" ht="12.75" hidden="1">
      <c r="A23" s="15">
        <v>6</v>
      </c>
      <c r="B23" s="19" t="s">
        <v>43</v>
      </c>
      <c r="C23" s="19"/>
      <c r="D23" s="19"/>
      <c r="E23" s="19"/>
      <c r="F23" s="20"/>
      <c r="G23" s="20"/>
      <c r="H23" s="15"/>
      <c r="I23" s="15"/>
      <c r="J23" s="17"/>
      <c r="K23" s="15"/>
      <c r="L23" s="15"/>
      <c r="M23" s="15"/>
      <c r="N23" s="15"/>
      <c r="O23" s="15"/>
      <c r="P23" s="44"/>
      <c r="Q23" s="44"/>
      <c r="R23" s="15"/>
      <c r="S23" s="15"/>
      <c r="T23" s="31"/>
    </row>
    <row r="24" spans="1:20" ht="12.75">
      <c r="A24" s="15">
        <v>6</v>
      </c>
      <c r="B24" s="112" t="s">
        <v>6</v>
      </c>
      <c r="C24" s="112"/>
      <c r="D24" s="112"/>
      <c r="E24" s="112"/>
      <c r="F24" s="113">
        <v>8000</v>
      </c>
      <c r="G24" s="113"/>
      <c r="H24" s="15"/>
      <c r="I24" s="15"/>
      <c r="J24" s="17"/>
      <c r="K24" s="15"/>
      <c r="L24" s="15"/>
      <c r="M24" s="15"/>
      <c r="N24" s="15"/>
      <c r="O24" s="44"/>
      <c r="P24" s="44"/>
      <c r="Q24" s="44"/>
      <c r="R24" s="15"/>
      <c r="S24" s="15"/>
      <c r="T24" s="31"/>
    </row>
    <row r="25" spans="1:20" ht="12.75">
      <c r="A25" s="15">
        <v>7</v>
      </c>
      <c r="B25" s="112" t="s">
        <v>237</v>
      </c>
      <c r="C25" s="112"/>
      <c r="D25" s="112"/>
      <c r="E25" s="112"/>
      <c r="F25" s="113">
        <v>55880</v>
      </c>
      <c r="G25" s="113"/>
      <c r="H25" s="15"/>
      <c r="I25" s="15"/>
      <c r="J25" s="17"/>
      <c r="K25" s="15"/>
      <c r="L25" s="15"/>
      <c r="M25" s="15"/>
      <c r="N25" s="15"/>
      <c r="O25" s="15"/>
      <c r="P25" s="44"/>
      <c r="Q25" s="44"/>
      <c r="R25" s="15"/>
      <c r="S25" s="15"/>
      <c r="T25" s="31"/>
    </row>
    <row r="26" spans="1:20" ht="12.75">
      <c r="A26" s="15"/>
      <c r="B26" s="21"/>
      <c r="C26" s="21"/>
      <c r="D26" s="21"/>
      <c r="E26" s="21"/>
      <c r="F26" s="113"/>
      <c r="G26" s="113"/>
      <c r="H26" s="15"/>
      <c r="I26" s="15"/>
      <c r="J26" s="22"/>
      <c r="K26" s="15"/>
      <c r="L26" s="15"/>
      <c r="M26" s="15"/>
      <c r="N26" s="15"/>
      <c r="O26" s="15"/>
      <c r="P26" s="44"/>
      <c r="Q26" s="44"/>
      <c r="R26" s="15"/>
      <c r="S26" s="15"/>
      <c r="T26" s="31"/>
    </row>
    <row r="27" spans="1:20" ht="12.75">
      <c r="A27" s="95"/>
      <c r="B27" s="157" t="s">
        <v>8</v>
      </c>
      <c r="C27" s="157"/>
      <c r="D27" s="157"/>
      <c r="E27" s="157"/>
      <c r="F27" s="158">
        <f>SUM(F17:F25)</f>
        <v>4277616</v>
      </c>
      <c r="G27" s="158"/>
      <c r="H27" s="96">
        <f aca="true" t="shared" si="0" ref="H27:S27">SUM(H17:H26)</f>
        <v>0</v>
      </c>
      <c r="I27" s="96">
        <f t="shared" si="0"/>
        <v>0</v>
      </c>
      <c r="J27" s="96">
        <f t="shared" si="0"/>
        <v>0</v>
      </c>
      <c r="K27" s="96">
        <f t="shared" si="0"/>
        <v>0</v>
      </c>
      <c r="L27" s="96">
        <f t="shared" si="0"/>
        <v>0</v>
      </c>
      <c r="M27" s="96">
        <f t="shared" si="0"/>
        <v>0</v>
      </c>
      <c r="N27" s="96">
        <f t="shared" si="0"/>
        <v>0</v>
      </c>
      <c r="O27" s="96">
        <f t="shared" si="0"/>
        <v>0</v>
      </c>
      <c r="P27" s="96">
        <f t="shared" si="0"/>
        <v>0</v>
      </c>
      <c r="Q27" s="96">
        <f t="shared" si="0"/>
        <v>0</v>
      </c>
      <c r="R27" s="96">
        <f t="shared" si="0"/>
        <v>0</v>
      </c>
      <c r="S27" s="96">
        <f t="shared" si="0"/>
        <v>0</v>
      </c>
      <c r="T27" s="97">
        <f>H27+I27+J27+K27+L27+M27+N27+O27+P27+Q27+R27+S27</f>
        <v>0</v>
      </c>
    </row>
    <row r="28" spans="1:20" ht="12.75">
      <c r="A28" s="15"/>
      <c r="B28" s="15" t="s">
        <v>134</v>
      </c>
      <c r="C28" s="15"/>
      <c r="D28" s="15"/>
      <c r="E28" s="15"/>
      <c r="F28" s="16"/>
      <c r="G28" s="16"/>
      <c r="H28" s="15"/>
      <c r="I28" s="15"/>
      <c r="J28" s="22"/>
      <c r="K28" s="15"/>
      <c r="L28" s="15"/>
      <c r="M28" s="15"/>
      <c r="N28" s="15"/>
      <c r="O28" s="44"/>
      <c r="P28" s="44"/>
      <c r="Q28" s="44"/>
      <c r="R28" s="15"/>
      <c r="S28" s="44"/>
      <c r="T28" s="18"/>
    </row>
    <row r="29" spans="1:20" ht="17.25">
      <c r="A29" s="119" t="s">
        <v>9</v>
      </c>
      <c r="B29" s="119"/>
      <c r="C29" s="119"/>
      <c r="D29" s="15"/>
      <c r="E29" s="15"/>
      <c r="F29" s="16"/>
      <c r="G29" s="16"/>
      <c r="H29" s="15" t="s">
        <v>65</v>
      </c>
      <c r="I29" s="15"/>
      <c r="J29" s="22"/>
      <c r="K29" s="15"/>
      <c r="L29" s="15"/>
      <c r="M29" s="15"/>
      <c r="N29" s="15"/>
      <c r="O29" s="15"/>
      <c r="P29" s="15"/>
      <c r="Q29" s="15"/>
      <c r="R29" s="15"/>
      <c r="S29" s="15"/>
      <c r="T29" s="18"/>
    </row>
    <row r="30" spans="1:20" ht="12.75">
      <c r="A30" s="15"/>
      <c r="B30" s="15"/>
      <c r="C30" s="15"/>
      <c r="D30" s="15"/>
      <c r="E30" s="15"/>
      <c r="F30" s="16"/>
      <c r="G30" s="16"/>
      <c r="H30" s="15"/>
      <c r="I30" s="15"/>
      <c r="J30" s="22"/>
      <c r="K30" s="15"/>
      <c r="L30" s="15"/>
      <c r="M30" s="15"/>
      <c r="N30" s="15"/>
      <c r="O30" s="15"/>
      <c r="P30" s="15"/>
      <c r="Q30" s="15"/>
      <c r="R30" s="15"/>
      <c r="S30" s="15"/>
      <c r="T30" s="18"/>
    </row>
    <row r="31" spans="1:20" ht="12.75">
      <c r="A31" s="47" t="s">
        <v>137</v>
      </c>
      <c r="B31" s="206" t="s">
        <v>188</v>
      </c>
      <c r="C31" s="207"/>
      <c r="D31" s="207"/>
      <c r="E31" s="207"/>
      <c r="F31"/>
      <c r="G31"/>
      <c r="T31"/>
    </row>
    <row r="32" spans="1:20" ht="12.75">
      <c r="A32" s="15"/>
      <c r="B32" s="15"/>
      <c r="C32" s="15"/>
      <c r="D32" s="15"/>
      <c r="E32" s="15"/>
      <c r="F32" s="16"/>
      <c r="G32" s="16"/>
      <c r="H32" s="15"/>
      <c r="I32" s="15"/>
      <c r="J32" s="22"/>
      <c r="K32" s="15"/>
      <c r="L32" s="15"/>
      <c r="M32" s="15"/>
      <c r="N32" s="15"/>
      <c r="O32" s="15"/>
      <c r="P32" s="15"/>
      <c r="Q32" s="15"/>
      <c r="R32" s="15"/>
      <c r="S32" s="15"/>
      <c r="T32" s="18"/>
    </row>
    <row r="33" spans="1:20" ht="12.75">
      <c r="A33" s="15"/>
      <c r="B33" s="15"/>
      <c r="C33" s="15"/>
      <c r="D33" s="15"/>
      <c r="E33" s="15"/>
      <c r="F33" s="16"/>
      <c r="G33" s="16"/>
      <c r="H33" s="15"/>
      <c r="I33" s="15"/>
      <c r="J33" s="22"/>
      <c r="K33" s="15"/>
      <c r="L33" s="15"/>
      <c r="M33" s="15"/>
      <c r="N33" s="15"/>
      <c r="O33" s="15"/>
      <c r="P33" s="15"/>
      <c r="Q33" s="15"/>
      <c r="R33" s="15"/>
      <c r="S33" s="15"/>
      <c r="T33" s="18"/>
    </row>
    <row r="34" spans="1:20" ht="12.75">
      <c r="A34" s="16">
        <v>1</v>
      </c>
      <c r="B34" s="145" t="s">
        <v>139</v>
      </c>
      <c r="C34" s="163"/>
      <c r="D34" s="163"/>
      <c r="E34" s="141"/>
      <c r="F34" s="16"/>
      <c r="G34" s="16"/>
      <c r="H34" s="15"/>
      <c r="I34" s="15"/>
      <c r="J34" s="22"/>
      <c r="K34" s="15"/>
      <c r="L34" s="15"/>
      <c r="M34" s="15"/>
      <c r="N34" s="15"/>
      <c r="O34" s="15"/>
      <c r="P34" s="15"/>
      <c r="Q34" s="15"/>
      <c r="R34" s="15"/>
      <c r="S34" s="15"/>
      <c r="T34" s="18"/>
    </row>
    <row r="35" spans="1:20" ht="12.75">
      <c r="A35" s="48">
        <v>1.1</v>
      </c>
      <c r="B35" s="118" t="s">
        <v>140</v>
      </c>
      <c r="C35" s="118"/>
      <c r="D35" s="118"/>
      <c r="E35" s="118"/>
      <c r="F35" s="113">
        <v>280000</v>
      </c>
      <c r="G35" s="113"/>
      <c r="H35" s="22"/>
      <c r="I35" s="22"/>
      <c r="J35" s="22"/>
      <c r="K35" s="34"/>
      <c r="L35" s="22"/>
      <c r="M35" s="22"/>
      <c r="N35" s="22"/>
      <c r="O35" s="22"/>
      <c r="P35" s="22"/>
      <c r="Q35" s="22"/>
      <c r="R35" s="22"/>
      <c r="S35" s="22"/>
      <c r="T35" s="31"/>
    </row>
    <row r="36" spans="1:20" ht="12.75">
      <c r="A36" s="15">
        <v>1.2</v>
      </c>
      <c r="B36" s="19" t="s">
        <v>141</v>
      </c>
      <c r="C36" s="19"/>
      <c r="D36" s="19"/>
      <c r="E36" s="19"/>
      <c r="F36" s="113">
        <v>350000</v>
      </c>
      <c r="G36" s="115"/>
      <c r="H36" s="15"/>
      <c r="I36" s="15"/>
      <c r="J36" s="17"/>
      <c r="K36" s="24"/>
      <c r="L36" s="15"/>
      <c r="M36" s="15"/>
      <c r="N36" s="15"/>
      <c r="O36" s="15"/>
      <c r="P36" s="15"/>
      <c r="Q36" s="15"/>
      <c r="R36" s="15"/>
      <c r="S36" s="15"/>
      <c r="T36" s="31"/>
    </row>
    <row r="37" spans="1:20" ht="12.75">
      <c r="A37" s="15">
        <v>1.3</v>
      </c>
      <c r="B37" s="118" t="s">
        <v>142</v>
      </c>
      <c r="C37" s="118"/>
      <c r="D37" s="118"/>
      <c r="E37" s="118"/>
      <c r="F37" s="113">
        <v>90000</v>
      </c>
      <c r="G37" s="113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31"/>
    </row>
    <row r="38" spans="1:20" ht="12.75">
      <c r="A38" s="15">
        <v>1.4</v>
      </c>
      <c r="B38" s="118" t="s">
        <v>64</v>
      </c>
      <c r="C38" s="118"/>
      <c r="D38" s="118"/>
      <c r="E38" s="118"/>
      <c r="F38" s="113">
        <v>25000</v>
      </c>
      <c r="G38" s="113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31"/>
    </row>
    <row r="39" spans="1:20" ht="12.75">
      <c r="A39" s="15">
        <v>1.5</v>
      </c>
      <c r="B39" s="112" t="s">
        <v>16</v>
      </c>
      <c r="C39" s="112"/>
      <c r="D39" s="112"/>
      <c r="E39" s="112"/>
      <c r="F39" s="113">
        <v>70000</v>
      </c>
      <c r="G39" s="113"/>
      <c r="H39" s="15"/>
      <c r="I39" s="15"/>
      <c r="J39" s="22"/>
      <c r="K39" s="22"/>
      <c r="L39" s="15"/>
      <c r="M39" s="15"/>
      <c r="N39" s="15"/>
      <c r="O39" s="15"/>
      <c r="P39" s="15"/>
      <c r="Q39" s="15"/>
      <c r="R39" s="15"/>
      <c r="S39" s="15"/>
      <c r="T39" s="31"/>
    </row>
    <row r="40" spans="1:20" ht="12.75">
      <c r="A40" s="15">
        <v>1.6</v>
      </c>
      <c r="B40" s="112" t="s">
        <v>143</v>
      </c>
      <c r="C40" s="112"/>
      <c r="D40" s="112"/>
      <c r="E40" s="112"/>
      <c r="F40" s="113">
        <v>12000</v>
      </c>
      <c r="G40" s="113"/>
      <c r="H40" s="15"/>
      <c r="I40" s="15"/>
      <c r="J40" s="17"/>
      <c r="K40" s="22"/>
      <c r="L40" s="22"/>
      <c r="M40" s="22"/>
      <c r="N40" s="22"/>
      <c r="O40" s="22"/>
      <c r="P40" s="22"/>
      <c r="Q40" s="22"/>
      <c r="R40" s="22"/>
      <c r="S40" s="22"/>
      <c r="T40" s="31"/>
    </row>
    <row r="41" spans="1:20" ht="12.75">
      <c r="A41" s="15">
        <v>1.7</v>
      </c>
      <c r="B41" s="112" t="s">
        <v>144</v>
      </c>
      <c r="C41" s="112"/>
      <c r="D41" s="112"/>
      <c r="E41" s="112"/>
      <c r="F41" s="113">
        <v>20000</v>
      </c>
      <c r="G41" s="113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31"/>
    </row>
    <row r="42" spans="1:20" ht="12.75">
      <c r="A42" s="15">
        <v>1.8</v>
      </c>
      <c r="B42" s="112" t="s">
        <v>46</v>
      </c>
      <c r="C42" s="112"/>
      <c r="D42" s="112"/>
      <c r="E42" s="112"/>
      <c r="F42" s="113">
        <v>12000</v>
      </c>
      <c r="G42" s="113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31"/>
    </row>
    <row r="43" spans="1:20" ht="12.75">
      <c r="A43" s="15">
        <v>1.9</v>
      </c>
      <c r="B43" s="112" t="s">
        <v>112</v>
      </c>
      <c r="C43" s="112"/>
      <c r="D43" s="112"/>
      <c r="E43" s="112"/>
      <c r="F43" s="113">
        <v>4000</v>
      </c>
      <c r="G43" s="113"/>
      <c r="H43" s="15"/>
      <c r="I43" s="15"/>
      <c r="J43" s="22"/>
      <c r="K43" s="25"/>
      <c r="L43" s="15"/>
      <c r="M43" s="22"/>
      <c r="N43" s="15"/>
      <c r="O43" s="15"/>
      <c r="P43" s="22"/>
      <c r="Q43" s="15"/>
      <c r="R43" s="15"/>
      <c r="S43" s="15"/>
      <c r="T43" s="31"/>
    </row>
    <row r="44" spans="1:20" ht="12.75">
      <c r="A44" s="44">
        <v>1.1</v>
      </c>
      <c r="B44" s="112" t="s">
        <v>145</v>
      </c>
      <c r="C44" s="112"/>
      <c r="D44" s="112"/>
      <c r="E44" s="112"/>
      <c r="F44" s="116">
        <v>50000</v>
      </c>
      <c r="G44" s="116"/>
      <c r="H44" s="22"/>
      <c r="I44" s="15"/>
      <c r="J44" s="22"/>
      <c r="K44" s="22"/>
      <c r="L44" s="22"/>
      <c r="M44" s="22"/>
      <c r="N44" s="22"/>
      <c r="O44" s="22"/>
      <c r="P44" s="22"/>
      <c r="Q44" s="15"/>
      <c r="R44" s="22"/>
      <c r="S44" s="22"/>
      <c r="T44" s="31"/>
    </row>
    <row r="45" spans="1:20" ht="12.75">
      <c r="A45" s="44"/>
      <c r="B45" s="21"/>
      <c r="C45" s="21"/>
      <c r="D45" s="21"/>
      <c r="E45" s="21"/>
      <c r="F45" s="46"/>
      <c r="G45" s="46"/>
      <c r="H45" s="22"/>
      <c r="I45" s="15"/>
      <c r="J45" s="22"/>
      <c r="K45" s="22"/>
      <c r="L45" s="22"/>
      <c r="M45" s="22"/>
      <c r="N45" s="22"/>
      <c r="O45" s="22"/>
      <c r="P45" s="22"/>
      <c r="Q45" s="15"/>
      <c r="R45" s="22"/>
      <c r="S45" s="22"/>
      <c r="T45" s="31"/>
    </row>
    <row r="46" spans="1:20" ht="12.75">
      <c r="A46" s="99"/>
      <c r="B46" s="63" t="s">
        <v>8</v>
      </c>
      <c r="C46" s="69"/>
      <c r="D46" s="69"/>
      <c r="E46" s="69"/>
      <c r="F46" s="149">
        <f>SUM(F35:F45)</f>
        <v>913000</v>
      </c>
      <c r="G46" s="150"/>
      <c r="H46" s="95">
        <f aca="true" t="shared" si="1" ref="H46:S46">SUM(H35:H45)</f>
        <v>0</v>
      </c>
      <c r="I46" s="95">
        <f t="shared" si="1"/>
        <v>0</v>
      </c>
      <c r="J46" s="95">
        <f t="shared" si="1"/>
        <v>0</v>
      </c>
      <c r="K46" s="95">
        <f t="shared" si="1"/>
        <v>0</v>
      </c>
      <c r="L46" s="95">
        <f t="shared" si="1"/>
        <v>0</v>
      </c>
      <c r="M46" s="95">
        <f t="shared" si="1"/>
        <v>0</v>
      </c>
      <c r="N46" s="95">
        <f t="shared" si="1"/>
        <v>0</v>
      </c>
      <c r="O46" s="95">
        <f t="shared" si="1"/>
        <v>0</v>
      </c>
      <c r="P46" s="95">
        <f t="shared" si="1"/>
        <v>0</v>
      </c>
      <c r="Q46" s="95">
        <f t="shared" si="1"/>
        <v>0</v>
      </c>
      <c r="R46" s="95">
        <f t="shared" si="1"/>
        <v>0</v>
      </c>
      <c r="S46" s="95">
        <f t="shared" si="1"/>
        <v>0</v>
      </c>
      <c r="T46" s="97">
        <f>H46+I46+J46+K46+L46+M46+N46+O46+P46+Q46+R46+S46</f>
        <v>0</v>
      </c>
    </row>
    <row r="47" spans="1:20" ht="12.75">
      <c r="A47" s="44"/>
      <c r="B47" s="21"/>
      <c r="C47" s="21"/>
      <c r="D47" s="21"/>
      <c r="E47" s="21"/>
      <c r="F47" s="46"/>
      <c r="G47" s="46"/>
      <c r="H47" s="22"/>
      <c r="I47" s="15"/>
      <c r="J47" s="22"/>
      <c r="K47" s="22"/>
      <c r="L47" s="22"/>
      <c r="M47" s="22"/>
      <c r="N47" s="22"/>
      <c r="O47" s="22"/>
      <c r="P47" s="22"/>
      <c r="Q47" s="15"/>
      <c r="R47" s="22"/>
      <c r="S47" s="22"/>
      <c r="T47" s="31">
        <f>H47+I47+J47+K47+L47+M47+N47+O47+P47+Q47+R47+S47</f>
        <v>0</v>
      </c>
    </row>
    <row r="48" spans="1:20" ht="12.75">
      <c r="A48" s="15"/>
      <c r="B48" s="112"/>
      <c r="C48" s="112"/>
      <c r="D48" s="112"/>
      <c r="E48" s="112"/>
      <c r="F48" s="116"/>
      <c r="G48" s="116"/>
      <c r="H48" s="22"/>
      <c r="I48" s="15"/>
      <c r="J48" s="17"/>
      <c r="K48" s="25"/>
      <c r="L48" s="15"/>
      <c r="M48" s="15"/>
      <c r="N48" s="15"/>
      <c r="O48" s="15"/>
      <c r="P48" s="22"/>
      <c r="Q48" s="15"/>
      <c r="R48" s="15"/>
      <c r="S48" s="15"/>
      <c r="T48" s="31" t="s">
        <v>89</v>
      </c>
    </row>
    <row r="49" spans="1:20" ht="12.75">
      <c r="A49" s="55">
        <v>2</v>
      </c>
      <c r="B49" s="156" t="s">
        <v>159</v>
      </c>
      <c r="C49" s="156"/>
      <c r="D49" s="156"/>
      <c r="E49" s="156"/>
      <c r="F49" s="116"/>
      <c r="G49" s="116"/>
      <c r="H49" s="15"/>
      <c r="I49" s="15"/>
      <c r="J49" s="17"/>
      <c r="K49" s="25"/>
      <c r="L49" s="15"/>
      <c r="M49" s="22"/>
      <c r="N49" s="34"/>
      <c r="O49" s="34"/>
      <c r="P49" s="15"/>
      <c r="Q49" s="15"/>
      <c r="R49" s="15"/>
      <c r="S49" s="15"/>
      <c r="T49" s="31" t="s">
        <v>89</v>
      </c>
    </row>
    <row r="50" spans="1:20" ht="12.75">
      <c r="A50" s="15">
        <v>2.1</v>
      </c>
      <c r="B50" s="112" t="s">
        <v>147</v>
      </c>
      <c r="C50" s="112"/>
      <c r="D50" s="112"/>
      <c r="E50" s="112"/>
      <c r="F50" s="113">
        <v>604000</v>
      </c>
      <c r="G50" s="113"/>
      <c r="H50" s="15"/>
      <c r="I50" s="15"/>
      <c r="J50" s="17"/>
      <c r="K50" s="25"/>
      <c r="L50" s="15"/>
      <c r="M50" s="22"/>
      <c r="N50" s="15"/>
      <c r="O50" s="15"/>
      <c r="P50" s="15"/>
      <c r="Q50" s="15"/>
      <c r="R50" s="15"/>
      <c r="S50" s="15"/>
      <c r="T50" s="31"/>
    </row>
    <row r="51" spans="1:20" ht="12.75">
      <c r="A51" s="15">
        <v>2.2</v>
      </c>
      <c r="B51" s="112" t="s">
        <v>142</v>
      </c>
      <c r="C51" s="112"/>
      <c r="D51" s="112"/>
      <c r="E51" s="112"/>
      <c r="F51" s="116">
        <v>190000</v>
      </c>
      <c r="G51" s="116"/>
      <c r="H51" s="15"/>
      <c r="I51" s="15"/>
      <c r="J51" s="17"/>
      <c r="K51" s="25"/>
      <c r="L51" s="15"/>
      <c r="M51" s="15"/>
      <c r="N51" s="15"/>
      <c r="O51" s="15"/>
      <c r="P51" s="15"/>
      <c r="Q51" s="15"/>
      <c r="R51" s="15"/>
      <c r="S51" s="15"/>
      <c r="T51" s="31"/>
    </row>
    <row r="52" spans="1:20" ht="12.75">
      <c r="A52" s="15">
        <v>2.3</v>
      </c>
      <c r="B52" s="112" t="s">
        <v>148</v>
      </c>
      <c r="C52" s="112"/>
      <c r="D52" s="112"/>
      <c r="E52" s="112"/>
      <c r="F52" s="113">
        <v>120000</v>
      </c>
      <c r="G52" s="113"/>
      <c r="H52" s="15"/>
      <c r="I52" s="22"/>
      <c r="J52" s="22"/>
      <c r="K52" s="22"/>
      <c r="L52" s="22"/>
      <c r="M52" s="22"/>
      <c r="N52" s="22"/>
      <c r="O52" s="22"/>
      <c r="P52" s="15"/>
      <c r="Q52" s="22"/>
      <c r="R52" s="15"/>
      <c r="S52" s="22"/>
      <c r="T52" s="31"/>
    </row>
    <row r="53" spans="1:20" ht="12.75">
      <c r="A53" s="15">
        <v>2.4</v>
      </c>
      <c r="B53" s="112" t="s">
        <v>149</v>
      </c>
      <c r="C53" s="112"/>
      <c r="D53" s="112"/>
      <c r="E53" s="112"/>
      <c r="F53" s="116">
        <v>50000</v>
      </c>
      <c r="G53" s="116"/>
      <c r="H53" s="15"/>
      <c r="I53" s="15"/>
      <c r="J53" s="17"/>
      <c r="K53" s="25"/>
      <c r="L53" s="15"/>
      <c r="M53" s="15"/>
      <c r="N53" s="15"/>
      <c r="O53" s="15"/>
      <c r="P53" s="15"/>
      <c r="Q53" s="15"/>
      <c r="R53" s="15"/>
      <c r="S53" s="15"/>
      <c r="T53" s="31"/>
    </row>
    <row r="54" spans="1:20" ht="12.75">
      <c r="A54" s="15">
        <v>2.5</v>
      </c>
      <c r="B54" s="155" t="s">
        <v>150</v>
      </c>
      <c r="C54" s="155"/>
      <c r="D54" s="155"/>
      <c r="E54" s="155"/>
      <c r="F54" s="116">
        <v>73000</v>
      </c>
      <c r="G54" s="116"/>
      <c r="H54" s="15"/>
      <c r="I54" s="15"/>
      <c r="J54" s="17"/>
      <c r="K54" s="25"/>
      <c r="L54" s="15"/>
      <c r="M54" s="22"/>
      <c r="N54" s="15"/>
      <c r="O54" s="22"/>
      <c r="P54" s="22"/>
      <c r="Q54" s="15"/>
      <c r="R54" s="15"/>
      <c r="S54" s="15"/>
      <c r="T54" s="31"/>
    </row>
    <row r="55" spans="1:20" ht="12.75">
      <c r="A55" s="15">
        <v>2.6</v>
      </c>
      <c r="B55" s="112" t="s">
        <v>54</v>
      </c>
      <c r="C55" s="112"/>
      <c r="D55" s="112"/>
      <c r="E55" s="112"/>
      <c r="F55" s="113">
        <v>300000</v>
      </c>
      <c r="G55" s="113"/>
      <c r="H55" s="15"/>
      <c r="I55" s="15"/>
      <c r="J55" s="17"/>
      <c r="K55" s="25"/>
      <c r="L55" s="22"/>
      <c r="M55" s="15"/>
      <c r="N55" s="15"/>
      <c r="O55" s="15"/>
      <c r="P55" s="15"/>
      <c r="Q55" s="15"/>
      <c r="R55" s="15"/>
      <c r="S55" s="15"/>
      <c r="T55" s="31"/>
    </row>
    <row r="56" spans="1:20" ht="12.75">
      <c r="A56" s="15">
        <v>2.7</v>
      </c>
      <c r="B56" s="136" t="s">
        <v>192</v>
      </c>
      <c r="C56" s="137"/>
      <c r="D56" s="137"/>
      <c r="E56" s="138"/>
      <c r="F56" s="113">
        <v>12000</v>
      </c>
      <c r="G56" s="115"/>
      <c r="H56" s="22"/>
      <c r="I56" s="22"/>
      <c r="J56" s="17"/>
      <c r="K56" s="22"/>
      <c r="L56" s="15"/>
      <c r="M56" s="22"/>
      <c r="N56" s="22"/>
      <c r="O56" s="22"/>
      <c r="P56" s="22"/>
      <c r="Q56" s="22"/>
      <c r="R56" s="22"/>
      <c r="S56" s="22"/>
      <c r="T56" s="31"/>
    </row>
    <row r="57" spans="1:20" ht="12.75">
      <c r="A57" s="15">
        <v>2.8</v>
      </c>
      <c r="B57" s="21" t="s">
        <v>152</v>
      </c>
      <c r="C57" s="21"/>
      <c r="D57" s="21"/>
      <c r="E57" s="21"/>
      <c r="F57" s="113">
        <v>33000</v>
      </c>
      <c r="G57" s="115"/>
      <c r="H57" s="15"/>
      <c r="I57" s="15"/>
      <c r="J57" s="22"/>
      <c r="K57" s="25"/>
      <c r="L57" s="15"/>
      <c r="M57" s="22"/>
      <c r="N57" s="15"/>
      <c r="O57" s="15"/>
      <c r="P57" s="22"/>
      <c r="Q57" s="15"/>
      <c r="R57" s="15"/>
      <c r="S57" s="22"/>
      <c r="T57" s="31"/>
    </row>
    <row r="58" spans="1:20" ht="12.75">
      <c r="A58" s="15">
        <v>2.9</v>
      </c>
      <c r="B58" s="136" t="s">
        <v>153</v>
      </c>
      <c r="C58" s="143"/>
      <c r="D58" s="143"/>
      <c r="E58" s="134"/>
      <c r="F58" s="133">
        <v>70000</v>
      </c>
      <c r="G58" s="134"/>
      <c r="H58" s="15"/>
      <c r="I58" s="15"/>
      <c r="J58" s="22"/>
      <c r="K58" s="25"/>
      <c r="L58" s="15"/>
      <c r="M58" s="22"/>
      <c r="N58" s="15"/>
      <c r="O58" s="15"/>
      <c r="P58" s="22"/>
      <c r="Q58" s="15"/>
      <c r="R58" s="15"/>
      <c r="S58" s="22"/>
      <c r="T58" s="31"/>
    </row>
    <row r="59" spans="1:20" ht="12.75">
      <c r="A59" s="44">
        <v>2.1</v>
      </c>
      <c r="B59" s="136" t="s">
        <v>240</v>
      </c>
      <c r="C59" s="143"/>
      <c r="D59" s="143"/>
      <c r="E59" s="134"/>
      <c r="F59" s="133">
        <v>35000</v>
      </c>
      <c r="G59" s="134"/>
      <c r="H59" s="15"/>
      <c r="I59" s="15"/>
      <c r="J59" s="22"/>
      <c r="K59" s="25"/>
      <c r="L59" s="15"/>
      <c r="M59" s="22"/>
      <c r="N59" s="15"/>
      <c r="O59" s="15"/>
      <c r="P59" s="22"/>
      <c r="Q59" s="15"/>
      <c r="R59" s="15"/>
      <c r="S59" s="22"/>
      <c r="T59" s="31"/>
    </row>
    <row r="60" spans="1:20" ht="12.75">
      <c r="A60" s="15">
        <v>2.11</v>
      </c>
      <c r="B60" s="136" t="s">
        <v>119</v>
      </c>
      <c r="C60" s="143"/>
      <c r="D60" s="143"/>
      <c r="E60" s="134"/>
      <c r="F60" s="133">
        <v>55000</v>
      </c>
      <c r="G60" s="134"/>
      <c r="H60" s="15"/>
      <c r="I60" s="15"/>
      <c r="J60" s="22"/>
      <c r="K60" s="25"/>
      <c r="L60" s="15"/>
      <c r="M60" s="22"/>
      <c r="N60" s="15"/>
      <c r="O60" s="15"/>
      <c r="P60" s="22"/>
      <c r="Q60" s="15"/>
      <c r="R60" s="15"/>
      <c r="S60" s="22"/>
      <c r="T60" s="31"/>
    </row>
    <row r="61" spans="1:20" ht="12.75">
      <c r="A61" s="15">
        <v>2.12</v>
      </c>
      <c r="B61" s="136" t="s">
        <v>241</v>
      </c>
      <c r="C61" s="143"/>
      <c r="D61" s="143"/>
      <c r="E61" s="134"/>
      <c r="F61" s="133">
        <v>55000</v>
      </c>
      <c r="G61" s="134"/>
      <c r="H61" s="15"/>
      <c r="I61" s="15"/>
      <c r="J61" s="22"/>
      <c r="K61" s="25"/>
      <c r="L61" s="15"/>
      <c r="M61" s="22"/>
      <c r="N61" s="15"/>
      <c r="O61" s="15"/>
      <c r="P61" s="22"/>
      <c r="Q61" s="15"/>
      <c r="R61" s="15"/>
      <c r="S61" s="22"/>
      <c r="T61" s="31"/>
    </row>
    <row r="62" spans="1:20" ht="12.75">
      <c r="A62" s="15">
        <v>2.13</v>
      </c>
      <c r="B62" s="39" t="s">
        <v>195</v>
      </c>
      <c r="C62" s="40"/>
      <c r="D62" s="40"/>
      <c r="E62" s="41"/>
      <c r="F62" s="133">
        <v>42000</v>
      </c>
      <c r="G62" s="134"/>
      <c r="H62" s="15"/>
      <c r="I62" s="15"/>
      <c r="J62" s="22"/>
      <c r="K62" s="25"/>
      <c r="L62" s="15"/>
      <c r="M62" s="22"/>
      <c r="N62" s="15"/>
      <c r="O62" s="15"/>
      <c r="P62" s="22"/>
      <c r="Q62" s="15"/>
      <c r="R62" s="15"/>
      <c r="S62" s="22"/>
      <c r="T62" s="31"/>
    </row>
    <row r="63" spans="1:20" ht="12.75">
      <c r="A63" s="15">
        <v>2.14</v>
      </c>
      <c r="B63" s="39" t="s">
        <v>189</v>
      </c>
      <c r="C63" s="40"/>
      <c r="D63" s="40"/>
      <c r="E63" s="41"/>
      <c r="F63" s="133">
        <v>55200</v>
      </c>
      <c r="G63" s="134"/>
      <c r="H63" s="15"/>
      <c r="I63" s="15"/>
      <c r="J63" s="22"/>
      <c r="K63" s="25"/>
      <c r="L63" s="15"/>
      <c r="M63" s="22"/>
      <c r="N63" s="15"/>
      <c r="O63" s="15"/>
      <c r="P63" s="22"/>
      <c r="Q63" s="15"/>
      <c r="R63" s="15"/>
      <c r="S63" s="22"/>
      <c r="T63" s="31"/>
    </row>
    <row r="64" spans="1:20" ht="12.75">
      <c r="A64" s="15">
        <v>2.15</v>
      </c>
      <c r="B64" s="39" t="s">
        <v>190</v>
      </c>
      <c r="C64" s="40"/>
      <c r="D64" s="40"/>
      <c r="E64" s="41"/>
      <c r="F64" s="133">
        <v>66000</v>
      </c>
      <c r="G64" s="134"/>
      <c r="H64" s="15"/>
      <c r="I64" s="15"/>
      <c r="J64" s="22"/>
      <c r="K64" s="25"/>
      <c r="L64" s="15"/>
      <c r="M64" s="22"/>
      <c r="N64" s="15"/>
      <c r="O64" s="15"/>
      <c r="P64" s="22"/>
      <c r="Q64" s="15"/>
      <c r="R64" s="15"/>
      <c r="S64" s="22"/>
      <c r="T64" s="31"/>
    </row>
    <row r="65" spans="1:20" ht="12.75" hidden="1">
      <c r="A65" s="15">
        <v>2.16</v>
      </c>
      <c r="B65" s="136" t="s">
        <v>236</v>
      </c>
      <c r="C65" s="143"/>
      <c r="D65" s="143"/>
      <c r="E65" s="134"/>
      <c r="F65" s="37"/>
      <c r="G65" s="38"/>
      <c r="H65" s="15"/>
      <c r="I65" s="15"/>
      <c r="J65" s="22"/>
      <c r="K65" s="25"/>
      <c r="L65" s="15"/>
      <c r="M65" s="22"/>
      <c r="N65" s="15"/>
      <c r="O65" s="15"/>
      <c r="P65" s="22"/>
      <c r="Q65" s="15"/>
      <c r="R65" s="15"/>
      <c r="S65" s="22"/>
      <c r="T65" s="31"/>
    </row>
    <row r="66" spans="1:20" ht="12.75">
      <c r="A66" s="95"/>
      <c r="B66" s="146" t="s">
        <v>8</v>
      </c>
      <c r="C66" s="147"/>
      <c r="D66" s="147"/>
      <c r="E66" s="148"/>
      <c r="F66" s="149">
        <f>SUM(F50:F64)</f>
        <v>1760200</v>
      </c>
      <c r="G66" s="150"/>
      <c r="H66" s="95">
        <f aca="true" t="shared" si="2" ref="H66:M66">SUM(H50:H64)</f>
        <v>0</v>
      </c>
      <c r="I66" s="95">
        <f t="shared" si="2"/>
        <v>0</v>
      </c>
      <c r="J66" s="95">
        <f t="shared" si="2"/>
        <v>0</v>
      </c>
      <c r="K66" s="95">
        <f t="shared" si="2"/>
        <v>0</v>
      </c>
      <c r="L66" s="95">
        <f t="shared" si="2"/>
        <v>0</v>
      </c>
      <c r="M66" s="95">
        <f t="shared" si="2"/>
        <v>0</v>
      </c>
      <c r="N66" s="95">
        <f aca="true" t="shared" si="3" ref="N66:S66">SUM(N50:N64)</f>
        <v>0</v>
      </c>
      <c r="O66" s="95">
        <f t="shared" si="3"/>
        <v>0</v>
      </c>
      <c r="P66" s="95">
        <f t="shared" si="3"/>
        <v>0</v>
      </c>
      <c r="Q66" s="95">
        <f>SUM(Q50:Q65)</f>
        <v>0</v>
      </c>
      <c r="R66" s="95">
        <f t="shared" si="3"/>
        <v>0</v>
      </c>
      <c r="S66" s="95">
        <f t="shared" si="3"/>
        <v>0</v>
      </c>
      <c r="T66" s="97">
        <f>SUM(T50:T65)</f>
        <v>0</v>
      </c>
    </row>
    <row r="67" spans="1:20" ht="12.75">
      <c r="A67" s="15"/>
      <c r="B67" s="52"/>
      <c r="C67" s="53"/>
      <c r="D67" s="53"/>
      <c r="E67" s="54"/>
      <c r="F67" s="37"/>
      <c r="G67" s="38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44"/>
      <c r="T67" s="44"/>
    </row>
    <row r="68" spans="1:20" ht="12.75">
      <c r="A68" s="47" t="s">
        <v>146</v>
      </c>
      <c r="B68" s="39"/>
      <c r="C68" s="40"/>
      <c r="D68" s="40"/>
      <c r="E68" s="41"/>
      <c r="F68" s="37"/>
      <c r="G68" s="38"/>
      <c r="H68" s="15"/>
      <c r="I68" s="15"/>
      <c r="J68" s="22"/>
      <c r="K68" s="25"/>
      <c r="L68" s="15"/>
      <c r="M68" s="22"/>
      <c r="N68" s="15"/>
      <c r="O68" s="15"/>
      <c r="P68" s="22"/>
      <c r="Q68" s="15"/>
      <c r="R68" s="15"/>
      <c r="S68" s="22"/>
      <c r="T68" s="31"/>
    </row>
    <row r="69" spans="1:20" ht="12.75">
      <c r="A69" s="15"/>
      <c r="B69" s="21" t="s">
        <v>121</v>
      </c>
      <c r="C69" s="21"/>
      <c r="D69" s="21"/>
      <c r="E69" s="21"/>
      <c r="F69" s="113">
        <v>100000</v>
      </c>
      <c r="G69" s="115"/>
      <c r="H69" s="15"/>
      <c r="I69" s="15"/>
      <c r="J69" s="17"/>
      <c r="K69" s="25"/>
      <c r="L69" s="15"/>
      <c r="M69" s="15"/>
      <c r="N69" s="15"/>
      <c r="O69" s="15"/>
      <c r="P69" s="15"/>
      <c r="Q69" s="15"/>
      <c r="R69" s="15"/>
      <c r="S69" s="15"/>
      <c r="T69" s="31"/>
    </row>
    <row r="70" spans="1:20" ht="12.75">
      <c r="A70" s="15"/>
      <c r="B70" s="136" t="s">
        <v>244</v>
      </c>
      <c r="C70" s="137"/>
      <c r="D70" s="137"/>
      <c r="E70" s="138"/>
      <c r="F70" s="113">
        <v>25000</v>
      </c>
      <c r="G70" s="115"/>
      <c r="H70" s="22"/>
      <c r="I70" s="15"/>
      <c r="J70" s="22"/>
      <c r="K70" s="22"/>
      <c r="L70" s="15"/>
      <c r="M70" s="22"/>
      <c r="N70" s="22"/>
      <c r="O70" s="22"/>
      <c r="P70" s="22"/>
      <c r="Q70" s="22"/>
      <c r="R70" s="22"/>
      <c r="S70" s="22"/>
      <c r="T70" s="31"/>
    </row>
    <row r="71" spans="1:20" ht="12.75">
      <c r="A71" s="15"/>
      <c r="B71" s="136" t="s">
        <v>245</v>
      </c>
      <c r="C71" s="143"/>
      <c r="D71" s="143"/>
      <c r="E71" s="134"/>
      <c r="F71" s="113">
        <v>70000</v>
      </c>
      <c r="G71" s="115"/>
      <c r="H71" s="15"/>
      <c r="I71" s="15"/>
      <c r="J71" s="17"/>
      <c r="K71" s="25"/>
      <c r="L71" s="15"/>
      <c r="M71" s="15"/>
      <c r="N71" s="15"/>
      <c r="O71" s="22"/>
      <c r="P71" s="15"/>
      <c r="Q71" s="15"/>
      <c r="R71" s="22"/>
      <c r="S71" s="15"/>
      <c r="T71" s="31"/>
    </row>
    <row r="72" spans="1:20" ht="12.75">
      <c r="A72" s="15"/>
      <c r="B72" s="21" t="s">
        <v>157</v>
      </c>
      <c r="C72" s="21"/>
      <c r="D72" s="21"/>
      <c r="E72" s="21"/>
      <c r="F72" s="113">
        <v>24000</v>
      </c>
      <c r="G72" s="115"/>
      <c r="H72" s="22"/>
      <c r="I72" s="22"/>
      <c r="J72" s="22"/>
      <c r="K72" s="22"/>
      <c r="L72" s="22"/>
      <c r="M72" s="22"/>
      <c r="N72" s="22"/>
      <c r="O72" s="22"/>
      <c r="P72" s="15"/>
      <c r="Q72" s="22"/>
      <c r="R72" s="22"/>
      <c r="S72" s="22"/>
      <c r="T72" s="31"/>
    </row>
    <row r="73" spans="1:20" ht="12.75">
      <c r="A73" s="15"/>
      <c r="B73" s="136" t="s">
        <v>242</v>
      </c>
      <c r="C73" s="143"/>
      <c r="D73" s="143"/>
      <c r="E73" s="134"/>
      <c r="F73" s="133">
        <v>90000</v>
      </c>
      <c r="G73" s="134"/>
      <c r="H73" s="22"/>
      <c r="I73" s="22"/>
      <c r="J73" s="22"/>
      <c r="K73" s="22"/>
      <c r="L73" s="22"/>
      <c r="M73" s="22"/>
      <c r="N73" s="22"/>
      <c r="O73" s="22"/>
      <c r="P73" s="15"/>
      <c r="Q73" s="22"/>
      <c r="R73" s="22"/>
      <c r="S73" s="22"/>
      <c r="T73" s="31"/>
    </row>
    <row r="74" spans="1:20" ht="12.75">
      <c r="A74" s="15"/>
      <c r="B74" s="39" t="s">
        <v>127</v>
      </c>
      <c r="C74" s="40"/>
      <c r="D74" s="40"/>
      <c r="E74" s="41"/>
      <c r="F74" s="133">
        <v>240000</v>
      </c>
      <c r="G74" s="134"/>
      <c r="H74" s="22"/>
      <c r="I74" s="22"/>
      <c r="J74" s="22"/>
      <c r="K74" s="22"/>
      <c r="L74" s="22"/>
      <c r="M74" s="22"/>
      <c r="N74" s="22"/>
      <c r="O74" s="22"/>
      <c r="P74" s="15"/>
      <c r="Q74" s="22"/>
      <c r="R74" s="22"/>
      <c r="S74" s="22"/>
      <c r="T74" s="31"/>
    </row>
    <row r="75" spans="1:20" ht="12.75">
      <c r="A75" s="15" t="s">
        <v>89</v>
      </c>
      <c r="B75" s="39" t="s">
        <v>198</v>
      </c>
      <c r="C75" s="40"/>
      <c r="D75" s="40"/>
      <c r="E75" s="41"/>
      <c r="F75" s="133">
        <v>150000</v>
      </c>
      <c r="G75" s="134"/>
      <c r="H75" s="22"/>
      <c r="I75" s="22"/>
      <c r="J75" s="22"/>
      <c r="K75" s="22"/>
      <c r="L75" s="22"/>
      <c r="M75" s="22"/>
      <c r="N75" s="22"/>
      <c r="O75" s="22"/>
      <c r="P75" s="15"/>
      <c r="Q75" s="22"/>
      <c r="R75" s="22"/>
      <c r="S75" s="22"/>
      <c r="T75" s="31"/>
    </row>
    <row r="76" spans="1:20" ht="12.75" hidden="1">
      <c r="A76" s="15"/>
      <c r="B76" s="136" t="s">
        <v>197</v>
      </c>
      <c r="C76" s="137"/>
      <c r="D76" s="137"/>
      <c r="E76" s="138"/>
      <c r="F76" s="133"/>
      <c r="G76" s="134"/>
      <c r="H76" s="22"/>
      <c r="I76" s="22"/>
      <c r="J76" s="22"/>
      <c r="K76" s="22"/>
      <c r="L76" s="22"/>
      <c r="M76" s="22"/>
      <c r="N76" s="22"/>
      <c r="O76" s="22"/>
      <c r="P76" s="15"/>
      <c r="Q76" s="22"/>
      <c r="R76" s="22"/>
      <c r="S76" s="22"/>
      <c r="T76" s="31"/>
    </row>
    <row r="77" spans="1:20" ht="12.75">
      <c r="A77" s="15"/>
      <c r="B77" s="136" t="s">
        <v>243</v>
      </c>
      <c r="C77" s="143"/>
      <c r="D77" s="143"/>
      <c r="E77" s="134"/>
      <c r="F77" s="133">
        <v>55880</v>
      </c>
      <c r="G77" s="134"/>
      <c r="H77" s="22"/>
      <c r="I77" s="22"/>
      <c r="J77" s="22"/>
      <c r="K77" s="22"/>
      <c r="L77" s="22"/>
      <c r="M77" s="22"/>
      <c r="N77" s="22"/>
      <c r="O77" s="22"/>
      <c r="P77" s="15"/>
      <c r="Q77" s="22"/>
      <c r="R77" s="22"/>
      <c r="S77" s="22"/>
      <c r="T77" s="31"/>
    </row>
    <row r="78" spans="1:20" ht="12.75">
      <c r="A78" s="15"/>
      <c r="B78" s="136" t="s">
        <v>247</v>
      </c>
      <c r="C78" s="137"/>
      <c r="D78" s="137"/>
      <c r="E78" s="138"/>
      <c r="F78" s="133">
        <v>31100</v>
      </c>
      <c r="G78" s="134"/>
      <c r="H78" s="22"/>
      <c r="I78" s="22"/>
      <c r="J78" s="22"/>
      <c r="K78" s="22"/>
      <c r="L78" s="22"/>
      <c r="M78" s="22"/>
      <c r="N78" s="22"/>
      <c r="O78" s="22"/>
      <c r="P78" s="15"/>
      <c r="Q78" s="22"/>
      <c r="R78" s="22"/>
      <c r="S78" s="22"/>
      <c r="T78" s="31"/>
    </row>
    <row r="79" spans="1:20" ht="12.75">
      <c r="A79" s="101"/>
      <c r="B79" s="151" t="s">
        <v>8</v>
      </c>
      <c r="C79" s="151"/>
      <c r="D79" s="151"/>
      <c r="E79" s="151"/>
      <c r="F79" s="152">
        <f>SUM(F69:F78)</f>
        <v>785980</v>
      </c>
      <c r="G79" s="151"/>
      <c r="H79" s="96">
        <f aca="true" t="shared" si="4" ref="H79:T79">SUM(H69:H78)</f>
        <v>0</v>
      </c>
      <c r="I79" s="96">
        <f t="shared" si="4"/>
        <v>0</v>
      </c>
      <c r="J79" s="96">
        <f t="shared" si="4"/>
        <v>0</v>
      </c>
      <c r="K79" s="96">
        <f t="shared" si="4"/>
        <v>0</v>
      </c>
      <c r="L79" s="96">
        <f t="shared" si="4"/>
        <v>0</v>
      </c>
      <c r="M79" s="96">
        <f t="shared" si="4"/>
        <v>0</v>
      </c>
      <c r="N79" s="96">
        <f t="shared" si="4"/>
        <v>0</v>
      </c>
      <c r="O79" s="96">
        <f t="shared" si="4"/>
        <v>0</v>
      </c>
      <c r="P79" s="96">
        <f t="shared" si="4"/>
        <v>0</v>
      </c>
      <c r="Q79" s="96">
        <f t="shared" si="4"/>
        <v>0</v>
      </c>
      <c r="R79" s="96">
        <f t="shared" si="4"/>
        <v>0</v>
      </c>
      <c r="S79" s="96">
        <f t="shared" si="4"/>
        <v>0</v>
      </c>
      <c r="T79" s="96">
        <f t="shared" si="4"/>
        <v>0</v>
      </c>
    </row>
    <row r="80" spans="1:20" ht="12.75">
      <c r="A80" s="15"/>
      <c r="B80" s="15"/>
      <c r="C80" s="15"/>
      <c r="D80" s="15"/>
      <c r="E80" s="15"/>
      <c r="F80" s="16"/>
      <c r="G80" s="16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31"/>
    </row>
    <row r="81" spans="1:20" ht="12.75">
      <c r="A81" s="15"/>
      <c r="B81" s="15"/>
      <c r="C81" s="15"/>
      <c r="D81" s="15"/>
      <c r="E81" s="15"/>
      <c r="F81" s="16"/>
      <c r="G81" s="16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31"/>
    </row>
    <row r="82" spans="1:20" ht="12.75">
      <c r="A82" s="15"/>
      <c r="B82" s="15"/>
      <c r="C82" s="15"/>
      <c r="D82" s="15"/>
      <c r="E82" s="15"/>
      <c r="F82" s="16"/>
      <c r="G82" s="16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31" t="s">
        <v>89</v>
      </c>
    </row>
    <row r="83" spans="1:20" ht="12.75">
      <c r="A83" s="105"/>
      <c r="B83" s="71" t="s">
        <v>128</v>
      </c>
      <c r="C83" s="70"/>
      <c r="D83" s="70"/>
      <c r="E83" s="70"/>
      <c r="F83" s="153">
        <f>F66+F79+F46</f>
        <v>3459180</v>
      </c>
      <c r="G83" s="154"/>
      <c r="H83" s="105">
        <f aca="true" t="shared" si="5" ref="H83:S83">H46+H66+H79</f>
        <v>0</v>
      </c>
      <c r="I83" s="105">
        <f t="shared" si="5"/>
        <v>0</v>
      </c>
      <c r="J83" s="105">
        <f t="shared" si="5"/>
        <v>0</v>
      </c>
      <c r="K83" s="105">
        <f t="shared" si="5"/>
        <v>0</v>
      </c>
      <c r="L83" s="105">
        <f t="shared" si="5"/>
        <v>0</v>
      </c>
      <c r="M83" s="105">
        <f t="shared" si="5"/>
        <v>0</v>
      </c>
      <c r="N83" s="105">
        <f t="shared" si="5"/>
        <v>0</v>
      </c>
      <c r="O83" s="105">
        <f t="shared" si="5"/>
        <v>0</v>
      </c>
      <c r="P83" s="105">
        <f t="shared" si="5"/>
        <v>0</v>
      </c>
      <c r="Q83" s="105">
        <f t="shared" si="5"/>
        <v>0</v>
      </c>
      <c r="R83" s="105">
        <f t="shared" si="5"/>
        <v>0</v>
      </c>
      <c r="S83" s="105">
        <f t="shared" si="5"/>
        <v>0</v>
      </c>
      <c r="T83" s="106">
        <f>T66+T79+T46</f>
        <v>0</v>
      </c>
    </row>
    <row r="84" spans="1:20" ht="12.75">
      <c r="A84" s="15"/>
      <c r="B84" s="15"/>
      <c r="C84" s="15"/>
      <c r="D84" s="15"/>
      <c r="E84" s="15"/>
      <c r="F84" s="16"/>
      <c r="G84" s="16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31" t="s">
        <v>89</v>
      </c>
    </row>
    <row r="85" spans="1:20" ht="12.75">
      <c r="A85" s="15"/>
      <c r="B85" s="15"/>
      <c r="C85" s="15"/>
      <c r="D85" s="15"/>
      <c r="E85" s="15"/>
      <c r="F85" s="16"/>
      <c r="G85" s="16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31" t="s">
        <v>89</v>
      </c>
    </row>
    <row r="86" spans="1:20" ht="12.75">
      <c r="A86" s="15"/>
      <c r="B86" s="15" t="s">
        <v>62</v>
      </c>
      <c r="C86" s="15"/>
      <c r="D86" s="15"/>
      <c r="E86" s="15"/>
      <c r="F86" s="139" t="s">
        <v>57</v>
      </c>
      <c r="G86" s="140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31" t="s">
        <v>89</v>
      </c>
    </row>
    <row r="87" spans="1:20" ht="12.75">
      <c r="A87" s="15"/>
      <c r="B87" s="15"/>
      <c r="C87" s="15"/>
      <c r="D87" s="15"/>
      <c r="E87" s="15"/>
      <c r="F87" s="139" t="s">
        <v>63</v>
      </c>
      <c r="G87" s="140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31" t="s">
        <v>89</v>
      </c>
    </row>
    <row r="88" spans="1:20" ht="12.75">
      <c r="A88" s="28"/>
      <c r="B88" s="28"/>
      <c r="C88" s="28"/>
      <c r="D88" s="28"/>
      <c r="E88" s="28"/>
      <c r="F88" s="28"/>
      <c r="G88" s="28"/>
      <c r="H88" s="28">
        <f aca="true" t="shared" si="6" ref="H88:S88">H27-H79</f>
        <v>0</v>
      </c>
      <c r="I88" s="28">
        <f t="shared" si="6"/>
        <v>0</v>
      </c>
      <c r="J88" s="28">
        <f t="shared" si="6"/>
        <v>0</v>
      </c>
      <c r="K88" s="28">
        <f t="shared" si="6"/>
        <v>0</v>
      </c>
      <c r="L88" s="28">
        <f t="shared" si="6"/>
        <v>0</v>
      </c>
      <c r="M88" s="28">
        <f t="shared" si="6"/>
        <v>0</v>
      </c>
      <c r="N88" s="28">
        <f t="shared" si="6"/>
        <v>0</v>
      </c>
      <c r="O88" s="28">
        <f t="shared" si="6"/>
        <v>0</v>
      </c>
      <c r="P88" s="28">
        <f t="shared" si="6"/>
        <v>0</v>
      </c>
      <c r="Q88" s="28">
        <f t="shared" si="6"/>
        <v>0</v>
      </c>
      <c r="R88" s="28">
        <f t="shared" si="6"/>
        <v>0</v>
      </c>
      <c r="S88" s="28">
        <f t="shared" si="6"/>
        <v>0</v>
      </c>
      <c r="T88" s="31" t="s">
        <v>89</v>
      </c>
    </row>
    <row r="89" spans="2:20" ht="12.75">
      <c r="B89" t="s">
        <v>58</v>
      </c>
      <c r="E89" t="s">
        <v>59</v>
      </c>
      <c r="F89" s="8" t="s">
        <v>60</v>
      </c>
      <c r="T89" s="31" t="s">
        <v>89</v>
      </c>
    </row>
    <row r="90" ht="12.75" hidden="1">
      <c r="T90" s="31"/>
    </row>
    <row r="91" spans="2:20" ht="12.75" hidden="1">
      <c r="B91" t="s">
        <v>85</v>
      </c>
      <c r="T91" s="31">
        <f>H91+I91+J91+K91+L91+M91+N91+O91+P91+Q91+R91+S91</f>
        <v>0</v>
      </c>
    </row>
    <row r="92" spans="2:20" ht="12.75" hidden="1">
      <c r="B92" t="s">
        <v>94</v>
      </c>
      <c r="T92" s="31">
        <f aca="true" t="shared" si="7" ref="T92:T99">H92+I92+J92+K92+L92+M92+N92+O92+P92+Q92+R92+S92</f>
        <v>0</v>
      </c>
    </row>
    <row r="93" spans="2:20" ht="12.75" hidden="1">
      <c r="B93" t="s">
        <v>132</v>
      </c>
      <c r="T93" s="31">
        <f t="shared" si="7"/>
        <v>0</v>
      </c>
    </row>
    <row r="94" spans="2:20" ht="12.75" hidden="1">
      <c r="B94" t="s">
        <v>75</v>
      </c>
      <c r="H94" s="3"/>
      <c r="I94" s="3"/>
      <c r="L94" s="3"/>
      <c r="N94" s="3"/>
      <c r="Q94" s="3"/>
      <c r="T94" s="31">
        <f t="shared" si="7"/>
        <v>0</v>
      </c>
    </row>
    <row r="95" spans="2:20" ht="12.75" hidden="1">
      <c r="B95" t="s">
        <v>77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1">
        <f t="shared" si="7"/>
        <v>0</v>
      </c>
    </row>
    <row r="96" spans="2:20" ht="12.75" hidden="1">
      <c r="B96" t="s">
        <v>78</v>
      </c>
      <c r="H96" s="3"/>
      <c r="I96" s="3"/>
      <c r="J96" s="3"/>
      <c r="K96" s="3"/>
      <c r="L96" s="43"/>
      <c r="M96" s="3"/>
      <c r="N96" s="3"/>
      <c r="O96" s="3"/>
      <c r="P96" s="3"/>
      <c r="Q96" s="3"/>
      <c r="R96" s="43"/>
      <c r="S96" s="43"/>
      <c r="T96" s="31">
        <f t="shared" si="7"/>
        <v>0</v>
      </c>
    </row>
    <row r="97" spans="2:20" ht="12.75" hidden="1">
      <c r="B97" t="s">
        <v>79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1">
        <f t="shared" si="7"/>
        <v>0</v>
      </c>
    </row>
    <row r="98" spans="2:20" ht="12.75" hidden="1">
      <c r="B98" t="s">
        <v>80</v>
      </c>
      <c r="R98" s="3"/>
      <c r="T98" s="31">
        <f t="shared" si="7"/>
        <v>0</v>
      </c>
    </row>
    <row r="99" spans="2:20" ht="12.75" hidden="1">
      <c r="B99" t="s">
        <v>81</v>
      </c>
      <c r="H99" s="3"/>
      <c r="J99" s="3"/>
      <c r="M99" s="3"/>
      <c r="N99" s="3"/>
      <c r="Q99" s="3"/>
      <c r="S99" s="3"/>
      <c r="T99" s="31">
        <f t="shared" si="7"/>
        <v>0</v>
      </c>
    </row>
    <row r="100" spans="2:20" ht="12.75" hidden="1">
      <c r="B100" t="s">
        <v>131</v>
      </c>
      <c r="K100" s="3"/>
      <c r="T100" s="31"/>
    </row>
    <row r="101" spans="2:20" ht="12.75" hidden="1">
      <c r="B101" t="s">
        <v>84</v>
      </c>
      <c r="M101" s="3"/>
      <c r="T101" s="31"/>
    </row>
    <row r="102" spans="2:19" ht="12.75" hidden="1">
      <c r="B102" t="s">
        <v>100</v>
      </c>
      <c r="H102" s="9"/>
      <c r="I102" s="9"/>
      <c r="J102" s="9"/>
      <c r="K102" s="9"/>
      <c r="R102" s="3"/>
      <c r="S102" s="3"/>
    </row>
    <row r="103" ht="12.75" hidden="1">
      <c r="B103" t="s">
        <v>82</v>
      </c>
    </row>
    <row r="104" spans="1:20" ht="12.75" hidden="1">
      <c r="A104" s="3"/>
      <c r="B104" s="3" t="s">
        <v>163</v>
      </c>
      <c r="C104" s="3"/>
      <c r="D104" s="3"/>
      <c r="E104" s="3"/>
      <c r="F104" s="56"/>
      <c r="G104" s="56"/>
      <c r="H104" s="56"/>
      <c r="I104" s="57"/>
      <c r="J104" s="56"/>
      <c r="K104" s="57"/>
      <c r="L104" s="57"/>
      <c r="M104" s="57"/>
      <c r="N104" s="57"/>
      <c r="O104" s="57"/>
      <c r="P104" s="57"/>
      <c r="Q104" s="57"/>
      <c r="R104" s="57"/>
      <c r="S104" s="57"/>
      <c r="T104" s="31">
        <f>H104+I104+J104+K104+L104+M104+N104+O104+P104+Q104+R104+S104</f>
        <v>0</v>
      </c>
    </row>
    <row r="105" ht="12.75" hidden="1">
      <c r="B105" s="14" t="s">
        <v>91</v>
      </c>
    </row>
    <row r="106" ht="12.75" hidden="1">
      <c r="B106" s="14" t="s">
        <v>92</v>
      </c>
    </row>
    <row r="107" ht="12.75" hidden="1">
      <c r="B107" t="s">
        <v>93</v>
      </c>
    </row>
    <row r="108" ht="12.75" hidden="1">
      <c r="B108" t="s">
        <v>94</v>
      </c>
    </row>
    <row r="109" ht="12.75" hidden="1">
      <c r="B109" t="s">
        <v>95</v>
      </c>
    </row>
    <row r="110" ht="12.75" hidden="1">
      <c r="B110" t="s">
        <v>81</v>
      </c>
    </row>
    <row r="111" ht="12.75" hidden="1">
      <c r="B111" t="s">
        <v>96</v>
      </c>
    </row>
    <row r="112" ht="12.75" hidden="1">
      <c r="B112" t="s">
        <v>97</v>
      </c>
    </row>
    <row r="113" spans="2:10" ht="12.75" hidden="1">
      <c r="B113" t="s">
        <v>98</v>
      </c>
      <c r="J113" s="4"/>
    </row>
    <row r="114" ht="12.75" hidden="1">
      <c r="B114" t="s">
        <v>99</v>
      </c>
    </row>
    <row r="115" ht="12.75" hidden="1">
      <c r="B115" t="s">
        <v>235</v>
      </c>
    </row>
    <row r="116" ht="12.75" hidden="1"/>
    <row r="117" ht="12.75" hidden="1"/>
    <row r="118" spans="1:20" ht="12.75" hidden="1">
      <c r="A118" s="74"/>
      <c r="B118" s="74"/>
      <c r="C118" s="74"/>
      <c r="D118" s="74"/>
      <c r="E118" s="74"/>
      <c r="F118" s="73"/>
      <c r="G118" s="73"/>
      <c r="H118" s="74">
        <f aca="true" t="shared" si="8" ref="H118:T118">SUM(H91:H117)+H83</f>
        <v>0</v>
      </c>
      <c r="I118" s="74">
        <f t="shared" si="8"/>
        <v>0</v>
      </c>
      <c r="J118" s="74">
        <f t="shared" si="8"/>
        <v>0</v>
      </c>
      <c r="K118" s="74">
        <f t="shared" si="8"/>
        <v>0</v>
      </c>
      <c r="L118" s="74">
        <f t="shared" si="8"/>
        <v>0</v>
      </c>
      <c r="M118" s="74">
        <f t="shared" si="8"/>
        <v>0</v>
      </c>
      <c r="N118" s="74">
        <f t="shared" si="8"/>
        <v>0</v>
      </c>
      <c r="O118" s="74">
        <f t="shared" si="8"/>
        <v>0</v>
      </c>
      <c r="P118" s="74">
        <f t="shared" si="8"/>
        <v>0</v>
      </c>
      <c r="Q118" s="74">
        <f t="shared" si="8"/>
        <v>0</v>
      </c>
      <c r="R118" s="74">
        <f t="shared" si="8"/>
        <v>0</v>
      </c>
      <c r="S118" s="74">
        <f t="shared" si="8"/>
        <v>0</v>
      </c>
      <c r="T118" s="74">
        <f t="shared" si="8"/>
        <v>0</v>
      </c>
    </row>
    <row r="119" ht="12.75" hidden="1"/>
    <row r="120" spans="1:20" ht="12.75" hidden="1">
      <c r="A120" s="75"/>
      <c r="B120" s="75" t="s">
        <v>160</v>
      </c>
      <c r="C120" s="75"/>
      <c r="D120" s="75"/>
      <c r="E120" s="75"/>
      <c r="F120" s="75"/>
      <c r="G120" s="75"/>
      <c r="H120" s="75">
        <v>491479.99</v>
      </c>
      <c r="I120" s="75">
        <v>709104.64</v>
      </c>
      <c r="J120" s="75">
        <v>757957.47</v>
      </c>
      <c r="K120" s="76">
        <v>497010.06</v>
      </c>
      <c r="L120" s="76">
        <v>528614.68</v>
      </c>
      <c r="M120" s="76">
        <v>393752.65</v>
      </c>
      <c r="N120" s="76">
        <v>389839.71</v>
      </c>
      <c r="O120" s="76">
        <v>199950.15</v>
      </c>
      <c r="P120" s="76">
        <v>530544.71</v>
      </c>
      <c r="Q120" s="76">
        <v>560360.42</v>
      </c>
      <c r="R120" s="76">
        <v>422140.75</v>
      </c>
      <c r="S120" s="76">
        <v>677192.66</v>
      </c>
      <c r="T120" s="74"/>
    </row>
    <row r="121" spans="1:20" ht="12.75" hidden="1">
      <c r="A121" s="77"/>
      <c r="B121" s="77" t="s">
        <v>161</v>
      </c>
      <c r="C121" s="77"/>
      <c r="D121" s="77"/>
      <c r="E121" s="77"/>
      <c r="F121" s="77"/>
      <c r="G121" s="77"/>
      <c r="H121" s="77">
        <v>88135</v>
      </c>
      <c r="I121" s="77">
        <v>93223.42</v>
      </c>
      <c r="J121" s="77">
        <f>5300+86748</f>
        <v>92048</v>
      </c>
      <c r="K121" s="77">
        <v>91136</v>
      </c>
      <c r="L121" s="77">
        <v>93920.23</v>
      </c>
      <c r="M121" s="77">
        <v>129111</v>
      </c>
      <c r="N121" s="77">
        <v>105103.48</v>
      </c>
      <c r="O121" s="77">
        <v>164394.82</v>
      </c>
      <c r="P121" s="77">
        <v>120474.73</v>
      </c>
      <c r="Q121" s="77">
        <v>153461.06</v>
      </c>
      <c r="R121" s="77">
        <v>92195.55</v>
      </c>
      <c r="S121" s="77">
        <v>94507.83</v>
      </c>
      <c r="T121" s="77"/>
    </row>
    <row r="122" spans="1:20" ht="12.75" hidden="1">
      <c r="A122" s="9"/>
      <c r="B122" s="9" t="s">
        <v>162</v>
      </c>
      <c r="C122" s="9"/>
      <c r="D122" s="9"/>
      <c r="E122" s="9"/>
      <c r="F122" s="9"/>
      <c r="G122" s="9"/>
      <c r="H122" s="9"/>
      <c r="I122" s="9">
        <v>5120</v>
      </c>
      <c r="J122" s="9">
        <v>14149</v>
      </c>
      <c r="K122" s="9"/>
      <c r="L122" s="9">
        <v>6075.82</v>
      </c>
      <c r="M122" s="9">
        <v>4685.5</v>
      </c>
      <c r="N122" s="9">
        <v>38792</v>
      </c>
      <c r="O122" s="9">
        <v>102398.15</v>
      </c>
      <c r="P122" s="9">
        <v>21215</v>
      </c>
      <c r="Q122" s="9">
        <v>2316.09</v>
      </c>
      <c r="R122" s="9"/>
      <c r="S122" s="9">
        <v>52527.74</v>
      </c>
      <c r="T122" s="74"/>
    </row>
    <row r="123" ht="12.75" hidden="1"/>
    <row r="124" spans="1:20" ht="12.75" hidden="1">
      <c r="A124" s="78"/>
      <c r="B124" s="78"/>
      <c r="C124" s="78"/>
      <c r="D124" s="78"/>
      <c r="E124" s="78"/>
      <c r="F124" s="78"/>
      <c r="G124" s="78"/>
      <c r="H124" s="78">
        <f aca="true" t="shared" si="9" ref="H124:P124">SUM(H120:H123)</f>
        <v>579614.99</v>
      </c>
      <c r="I124" s="78">
        <f t="shared" si="9"/>
        <v>807448.06</v>
      </c>
      <c r="J124" s="78">
        <f t="shared" si="9"/>
        <v>864154.47</v>
      </c>
      <c r="K124" s="79">
        <f t="shared" si="9"/>
        <v>588146.06</v>
      </c>
      <c r="L124" s="79">
        <f t="shared" si="9"/>
        <v>628610.73</v>
      </c>
      <c r="M124" s="79">
        <f t="shared" si="9"/>
        <v>527549.15</v>
      </c>
      <c r="N124" s="79">
        <f t="shared" si="9"/>
        <v>533735.19</v>
      </c>
      <c r="O124" s="79">
        <f t="shared" si="9"/>
        <v>466743.12</v>
      </c>
      <c r="P124" s="79">
        <f t="shared" si="9"/>
        <v>672234.44</v>
      </c>
      <c r="Q124" s="79">
        <f>SUM(Q120:Q123)</f>
        <v>716137.57</v>
      </c>
      <c r="R124" s="79">
        <f>SUM(R120:R123)</f>
        <v>514336.3</v>
      </c>
      <c r="S124" s="79">
        <f>SUM(S120:S123)</f>
        <v>824228.23</v>
      </c>
      <c r="T124" s="74"/>
    </row>
    <row r="126" spans="5:7" ht="12.75">
      <c r="E126" s="16" t="s">
        <v>184</v>
      </c>
      <c r="F126" s="115" t="s">
        <v>246</v>
      </c>
      <c r="G126" s="118"/>
    </row>
    <row r="127" spans="2:7" ht="12.75">
      <c r="B127" s="145" t="s">
        <v>169</v>
      </c>
      <c r="C127" s="163"/>
      <c r="D127" s="81"/>
      <c r="E127" s="16">
        <v>8008.6</v>
      </c>
      <c r="F127" s="115"/>
      <c r="G127" s="118"/>
    </row>
    <row r="128" spans="2:7" ht="12.75">
      <c r="B128" s="145" t="s">
        <v>170</v>
      </c>
      <c r="C128" s="163"/>
      <c r="D128" s="81"/>
      <c r="E128" s="16">
        <v>2658259.52</v>
      </c>
      <c r="F128" s="115"/>
      <c r="G128" s="118"/>
    </row>
    <row r="129" ht="12.75" hidden="1"/>
    <row r="130" ht="12.75" hidden="1"/>
    <row r="131" ht="12.75" hidden="1"/>
    <row r="132" spans="6:20" ht="12.75" hidden="1">
      <c r="F132"/>
      <c r="G132"/>
      <c r="T132"/>
    </row>
    <row r="133" ht="12.75" hidden="1"/>
    <row r="134" spans="4:20" ht="30.75" hidden="1">
      <c r="D134" s="85" t="s">
        <v>179</v>
      </c>
      <c r="E134" s="86" t="s">
        <v>180</v>
      </c>
      <c r="F134" s="87" t="s">
        <v>178</v>
      </c>
      <c r="G134" s="203" t="s">
        <v>181</v>
      </c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5"/>
    </row>
    <row r="135" spans="2:20" ht="12.75" hidden="1">
      <c r="B135" s="145" t="s">
        <v>174</v>
      </c>
      <c r="C135" s="141"/>
      <c r="D135" s="16"/>
      <c r="E135" s="16"/>
      <c r="F135" s="80"/>
      <c r="G135" s="144">
        <f>E135-F135</f>
        <v>0</v>
      </c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34"/>
    </row>
    <row r="136" spans="2:5" ht="12.75" hidden="1">
      <c r="B136" s="8"/>
      <c r="C136" s="8"/>
      <c r="D136" s="8"/>
      <c r="E136" s="8"/>
    </row>
    <row r="137" spans="2:20" ht="12.75" hidden="1">
      <c r="B137" s="145" t="s">
        <v>175</v>
      </c>
      <c r="C137" s="141"/>
      <c r="D137" s="16"/>
      <c r="E137" s="16"/>
      <c r="F137" s="80"/>
      <c r="G137" s="144">
        <f>E137-F137</f>
        <v>0</v>
      </c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34"/>
    </row>
    <row r="138" spans="2:5" ht="12.75" hidden="1">
      <c r="B138" s="8"/>
      <c r="C138" s="8"/>
      <c r="D138" s="8"/>
      <c r="E138" s="8"/>
    </row>
    <row r="139" spans="2:20" ht="12.75" hidden="1">
      <c r="B139" s="145" t="s">
        <v>176</v>
      </c>
      <c r="C139" s="141"/>
      <c r="D139" s="16"/>
      <c r="E139" s="16"/>
      <c r="F139" s="80"/>
      <c r="G139" s="144">
        <f>E139-F139</f>
        <v>0</v>
      </c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34"/>
    </row>
    <row r="140" spans="2:5" ht="12.75" hidden="1">
      <c r="B140" s="8"/>
      <c r="C140" s="8"/>
      <c r="D140" s="8"/>
      <c r="E140" s="8"/>
    </row>
    <row r="141" spans="2:20" ht="12.75" hidden="1">
      <c r="B141" s="145" t="s">
        <v>177</v>
      </c>
      <c r="C141" s="141"/>
      <c r="D141" s="16"/>
      <c r="E141" s="16"/>
      <c r="F141" s="80"/>
      <c r="G141" s="144">
        <f>E141-F141</f>
        <v>0</v>
      </c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34"/>
    </row>
    <row r="142" spans="2:20" ht="12.75" hidden="1">
      <c r="B142" s="145" t="s">
        <v>182</v>
      </c>
      <c r="C142" s="141"/>
      <c r="D142" s="16"/>
      <c r="E142" s="16"/>
      <c r="F142" s="16"/>
      <c r="G142" s="145">
        <f>SUM(G135:G141)</f>
        <v>0</v>
      </c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34"/>
    </row>
    <row r="143" ht="12.75" hidden="1"/>
    <row r="144" spans="2:7" ht="12.75" hidden="1">
      <c r="B144" s="145" t="s">
        <v>200</v>
      </c>
      <c r="C144" s="163"/>
      <c r="D144" s="163"/>
      <c r="E144" s="163"/>
      <c r="F144" s="163"/>
      <c r="G144" s="141"/>
    </row>
    <row r="145" spans="2:7" ht="12.75" hidden="1">
      <c r="B145" s="187"/>
      <c r="C145" s="188"/>
      <c r="D145" s="187"/>
      <c r="E145" s="188"/>
      <c r="F145" s="187"/>
      <c r="G145" s="188"/>
    </row>
    <row r="146" spans="2:7" ht="12.75" hidden="1">
      <c r="B146" s="189" t="s">
        <v>203</v>
      </c>
      <c r="C146" s="190"/>
      <c r="D146" s="187"/>
      <c r="E146" s="188"/>
      <c r="F146" s="187"/>
      <c r="G146" s="188"/>
    </row>
    <row r="147" spans="2:7" ht="12.75" hidden="1">
      <c r="B147" s="189" t="s">
        <v>174</v>
      </c>
      <c r="C147" s="190"/>
      <c r="D147" s="187"/>
      <c r="E147" s="188"/>
      <c r="F147" s="187"/>
      <c r="G147" s="188"/>
    </row>
    <row r="148" spans="2:7" ht="12.75" hidden="1">
      <c r="B148" s="189" t="s">
        <v>204</v>
      </c>
      <c r="C148" s="190"/>
      <c r="D148" s="187"/>
      <c r="E148" s="188"/>
      <c r="F148" s="187"/>
      <c r="G148" s="188"/>
    </row>
    <row r="149" spans="2:7" ht="12.75" hidden="1">
      <c r="B149" s="189" t="s">
        <v>176</v>
      </c>
      <c r="C149" s="190"/>
      <c r="D149" s="187"/>
      <c r="E149" s="188"/>
      <c r="F149" s="187"/>
      <c r="G149" s="188"/>
    </row>
    <row r="150" spans="2:7" ht="12.75" hidden="1">
      <c r="B150" s="93"/>
      <c r="C150" s="93"/>
      <c r="D150" s="94"/>
      <c r="E150" s="94"/>
      <c r="F150" s="94"/>
      <c r="G150" s="94"/>
    </row>
    <row r="151" spans="2:7" ht="12.75">
      <c r="B151" s="93"/>
      <c r="C151" s="93"/>
      <c r="D151" s="94"/>
      <c r="E151" s="94"/>
      <c r="F151" s="94"/>
      <c r="G151" s="94"/>
    </row>
    <row r="153" spans="2:7" ht="12.75">
      <c r="B153" s="191" t="s">
        <v>207</v>
      </c>
      <c r="C153" s="192"/>
      <c r="D153" s="192"/>
      <c r="E153" s="192"/>
      <c r="F153" s="192"/>
      <c r="G153" s="193"/>
    </row>
    <row r="154" spans="2:7" ht="12.75">
      <c r="B154" s="194"/>
      <c r="C154" s="195"/>
      <c r="D154" s="195"/>
      <c r="E154" s="195"/>
      <c r="F154" s="195"/>
      <c r="G154" s="196"/>
    </row>
    <row r="155" spans="2:7" ht="12.75">
      <c r="B155" s="180" t="s">
        <v>89</v>
      </c>
      <c r="C155" s="181"/>
      <c r="D155" s="182" t="s">
        <v>248</v>
      </c>
      <c r="E155" s="183"/>
      <c r="F155" s="208" t="s">
        <v>249</v>
      </c>
      <c r="G155" s="188"/>
    </row>
    <row r="156" spans="2:7" ht="12.75">
      <c r="B156" s="180" t="s">
        <v>174</v>
      </c>
      <c r="C156" s="181"/>
      <c r="D156" s="182" t="s">
        <v>210</v>
      </c>
      <c r="E156" s="183"/>
      <c r="F156" s="209" t="s">
        <v>251</v>
      </c>
      <c r="G156" s="184"/>
    </row>
    <row r="157" spans="2:7" ht="12.75">
      <c r="B157" s="180" t="s">
        <v>204</v>
      </c>
      <c r="C157" s="181"/>
      <c r="D157" s="182" t="s">
        <v>211</v>
      </c>
      <c r="E157" s="183"/>
      <c r="F157" s="209" t="s">
        <v>252</v>
      </c>
      <c r="G157" s="184"/>
    </row>
    <row r="158" spans="2:7" ht="12.75">
      <c r="B158" s="180" t="s">
        <v>208</v>
      </c>
      <c r="C158" s="181"/>
      <c r="D158" s="182" t="s">
        <v>213</v>
      </c>
      <c r="E158" s="183"/>
      <c r="F158" s="209" t="s">
        <v>253</v>
      </c>
      <c r="G158" s="184"/>
    </row>
    <row r="159" spans="2:7" ht="12.75">
      <c r="B159" s="185" t="s">
        <v>214</v>
      </c>
      <c r="C159" s="186"/>
      <c r="D159" s="208" t="s">
        <v>250</v>
      </c>
      <c r="E159" s="188"/>
      <c r="F159" s="208" t="s">
        <v>254</v>
      </c>
      <c r="G159" s="188"/>
    </row>
    <row r="160" spans="2:7" ht="12.75">
      <c r="B160" s="165" t="s">
        <v>225</v>
      </c>
      <c r="C160" s="166"/>
      <c r="D160" s="169" t="s">
        <v>255</v>
      </c>
      <c r="E160" s="170"/>
      <c r="F160" s="210" t="s">
        <v>256</v>
      </c>
      <c r="G160" s="177"/>
    </row>
    <row r="161" spans="2:7" ht="36" customHeight="1">
      <c r="B161" s="167"/>
      <c r="C161" s="168"/>
      <c r="D161" s="171"/>
      <c r="E161" s="172"/>
      <c r="F161" s="178"/>
      <c r="G161" s="179"/>
    </row>
    <row r="162" spans="2:7" ht="12.75" hidden="1">
      <c r="B162" s="165" t="s">
        <v>226</v>
      </c>
      <c r="C162" s="166"/>
      <c r="D162" s="169"/>
      <c r="E162" s="170"/>
      <c r="F162" s="173"/>
      <c r="G162" s="174"/>
    </row>
    <row r="163" spans="2:7" ht="24" customHeight="1" hidden="1">
      <c r="B163" s="167"/>
      <c r="C163" s="168"/>
      <c r="D163" s="171"/>
      <c r="E163" s="172"/>
      <c r="F163" s="175"/>
      <c r="G163" s="176"/>
    </row>
    <row r="164" spans="2:7" ht="12.75">
      <c r="B164" s="165" t="s">
        <v>227</v>
      </c>
      <c r="C164" s="166"/>
      <c r="D164" s="169" t="s">
        <v>221</v>
      </c>
      <c r="E164" s="170"/>
      <c r="F164" s="169" t="s">
        <v>257</v>
      </c>
      <c r="G164" s="170"/>
    </row>
    <row r="165" spans="2:7" ht="30" customHeight="1">
      <c r="B165" s="167"/>
      <c r="C165" s="168"/>
      <c r="D165" s="171"/>
      <c r="E165" s="172"/>
      <c r="F165" s="171"/>
      <c r="G165" s="172"/>
    </row>
    <row r="166" spans="2:7" ht="12.75" hidden="1">
      <c r="B166" s="165" t="s">
        <v>228</v>
      </c>
      <c r="C166" s="166"/>
      <c r="D166" s="169"/>
      <c r="E166" s="170"/>
      <c r="F166" s="173"/>
      <c r="G166" s="174"/>
    </row>
    <row r="167" spans="2:7" ht="18.75" customHeight="1" hidden="1">
      <c r="B167" s="167"/>
      <c r="C167" s="168"/>
      <c r="D167" s="171"/>
      <c r="E167" s="172"/>
      <c r="F167" s="175"/>
      <c r="G167" s="176"/>
    </row>
    <row r="168" spans="2:7" ht="12.75">
      <c r="B168" s="90"/>
      <c r="C168" s="90"/>
      <c r="D168" s="91"/>
      <c r="E168" s="91"/>
      <c r="F168" s="173"/>
      <c r="G168" s="174"/>
    </row>
    <row r="169" spans="2:7" ht="12.75">
      <c r="B169" s="90"/>
      <c r="C169" s="90"/>
      <c r="D169" s="91"/>
      <c r="E169" s="91"/>
      <c r="F169" s="175"/>
      <c r="G169" s="176"/>
    </row>
    <row r="170" spans="6:7" ht="12.75">
      <c r="F170" s="92"/>
      <c r="G170" s="92"/>
    </row>
    <row r="171" spans="1:20" ht="12.75" hidden="1">
      <c r="A171" t="s">
        <v>258</v>
      </c>
      <c r="B171" s="15" t="s">
        <v>62</v>
      </c>
      <c r="C171" s="15"/>
      <c r="D171" s="15"/>
      <c r="E171" s="15"/>
      <c r="F171" s="92"/>
      <c r="G171" s="92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31" t="s">
        <v>89</v>
      </c>
    </row>
    <row r="172" spans="2:20" ht="12.75" hidden="1">
      <c r="B172" s="15"/>
      <c r="C172" s="15"/>
      <c r="D172" s="15"/>
      <c r="E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31" t="s">
        <v>89</v>
      </c>
    </row>
    <row r="173" spans="6:7" ht="12.75" hidden="1">
      <c r="F173" s="139" t="s">
        <v>57</v>
      </c>
      <c r="G173" s="140"/>
    </row>
    <row r="174" spans="2:20" ht="12.75" hidden="1">
      <c r="B174" t="s">
        <v>58</v>
      </c>
      <c r="E174" t="s">
        <v>59</v>
      </c>
      <c r="F174" s="139" t="s">
        <v>63</v>
      </c>
      <c r="G174" s="140"/>
      <c r="T174" s="31" t="s">
        <v>89</v>
      </c>
    </row>
    <row r="175" ht="12.75" hidden="1">
      <c r="T175"/>
    </row>
    <row r="176" ht="12.75" hidden="1">
      <c r="F176" s="8" t="s">
        <v>60</v>
      </c>
    </row>
    <row r="177" spans="4:20" ht="26.25" hidden="1">
      <c r="D177" s="83" t="s">
        <v>179</v>
      </c>
      <c r="E177" s="82" t="s">
        <v>180</v>
      </c>
      <c r="F177"/>
      <c r="G177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38"/>
    </row>
    <row r="178" spans="2:20" ht="12.75" hidden="1">
      <c r="B178" s="145" t="s">
        <v>174</v>
      </c>
      <c r="C178" s="141"/>
      <c r="D178" s="16">
        <v>319683</v>
      </c>
      <c r="E178" s="16">
        <f>311320+9576</f>
        <v>320896</v>
      </c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38"/>
    </row>
    <row r="179" spans="2:7" ht="30.75" hidden="1">
      <c r="B179" s="8"/>
      <c r="C179" s="8"/>
      <c r="D179" s="8"/>
      <c r="E179" s="8"/>
      <c r="F179" s="84" t="s">
        <v>178</v>
      </c>
      <c r="G179" s="109" t="s">
        <v>181</v>
      </c>
    </row>
    <row r="180" spans="2:20" ht="12.75" hidden="1">
      <c r="B180" s="145" t="s">
        <v>175</v>
      </c>
      <c r="C180" s="141"/>
      <c r="D180" s="16">
        <v>484840</v>
      </c>
      <c r="E180" s="16">
        <f>471029+14448</f>
        <v>485477</v>
      </c>
      <c r="F180" s="80">
        <v>339693</v>
      </c>
      <c r="G180" s="111">
        <f>E178-F180</f>
        <v>-18797</v>
      </c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38"/>
    </row>
    <row r="181" spans="2:5" ht="12.75" hidden="1">
      <c r="B181" s="8"/>
      <c r="C181" s="8"/>
      <c r="D181" s="8"/>
      <c r="E181" s="8"/>
    </row>
    <row r="182" spans="2:20" ht="12.75" hidden="1">
      <c r="B182" s="145" t="s">
        <v>176</v>
      </c>
      <c r="C182" s="141"/>
      <c r="D182" s="16">
        <v>1130038</v>
      </c>
      <c r="E182" s="16">
        <f>1086798+33264</f>
        <v>1120062</v>
      </c>
      <c r="F182" s="80">
        <v>460571</v>
      </c>
      <c r="G182" s="111">
        <f>E180-F182</f>
        <v>24906</v>
      </c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38"/>
    </row>
    <row r="183" spans="2:5" ht="12.75" hidden="1">
      <c r="B183" s="8"/>
      <c r="C183" s="8"/>
      <c r="D183" s="8"/>
      <c r="E183" s="8"/>
    </row>
    <row r="184" spans="2:20" ht="12.75" hidden="1">
      <c r="B184" s="145" t="s">
        <v>177</v>
      </c>
      <c r="C184" s="141"/>
      <c r="D184" s="16">
        <v>2752578</v>
      </c>
      <c r="E184" s="16">
        <f>2626720+83892</f>
        <v>2710612</v>
      </c>
      <c r="F184" s="80">
        <v>888900</v>
      </c>
      <c r="G184" s="111">
        <f>E182-F184</f>
        <v>231162</v>
      </c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38"/>
    </row>
    <row r="185" spans="2:20" ht="12.75" hidden="1">
      <c r="B185" s="145" t="s">
        <v>182</v>
      </c>
      <c r="C185" s="141"/>
      <c r="D185" s="16">
        <f>SUM(D178:D184)</f>
        <v>4687139</v>
      </c>
      <c r="E185" s="16">
        <f>SUM(E178:E184)</f>
        <v>4637047</v>
      </c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38"/>
    </row>
    <row r="186" spans="6:7" ht="12.75" hidden="1">
      <c r="F186" s="80">
        <v>2523402</v>
      </c>
      <c r="G186" s="111">
        <f>E184-F186</f>
        <v>187210</v>
      </c>
    </row>
    <row r="187" spans="6:7" ht="12.75" hidden="1">
      <c r="F187" s="16">
        <f>SUM(F180:F186)</f>
        <v>4212566</v>
      </c>
      <c r="G187" s="80">
        <f>SUM(G180:G186)</f>
        <v>424481</v>
      </c>
    </row>
    <row r="188" spans="1:20" ht="12.75" hidden="1">
      <c r="A188" s="15"/>
      <c r="B188" s="15" t="s">
        <v>62</v>
      </c>
      <c r="C188" s="15"/>
      <c r="D188" s="15"/>
      <c r="E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31" t="s">
        <v>89</v>
      </c>
    </row>
    <row r="189" spans="1:20" ht="12.75" hidden="1">
      <c r="A189" s="15"/>
      <c r="B189" s="15"/>
      <c r="C189" s="15"/>
      <c r="D189" s="15"/>
      <c r="E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31" t="s">
        <v>89</v>
      </c>
    </row>
    <row r="190" spans="6:7" ht="12.75" hidden="1">
      <c r="F190" s="139" t="s">
        <v>57</v>
      </c>
      <c r="G190" s="140"/>
    </row>
    <row r="191" spans="6:7" ht="12.75" hidden="1">
      <c r="F191" s="139" t="s">
        <v>63</v>
      </c>
      <c r="G191" s="140"/>
    </row>
  </sheetData>
  <sheetProtection/>
  <mergeCells count="167">
    <mergeCell ref="B184:C184"/>
    <mergeCell ref="B185:C185"/>
    <mergeCell ref="F190:G190"/>
    <mergeCell ref="F191:G191"/>
    <mergeCell ref="F168:G169"/>
    <mergeCell ref="F173:G173"/>
    <mergeCell ref="F174:G174"/>
    <mergeCell ref="B178:C178"/>
    <mergeCell ref="B180:C180"/>
    <mergeCell ref="B182:C182"/>
    <mergeCell ref="B162:C163"/>
    <mergeCell ref="D162:E163"/>
    <mergeCell ref="F162:G163"/>
    <mergeCell ref="B164:C165"/>
    <mergeCell ref="D164:E165"/>
    <mergeCell ref="F166:G167"/>
    <mergeCell ref="F164:G165"/>
    <mergeCell ref="B166:C167"/>
    <mergeCell ref="D166:E167"/>
    <mergeCell ref="B159:C159"/>
    <mergeCell ref="D159:E159"/>
    <mergeCell ref="F159:G159"/>
    <mergeCell ref="B160:C161"/>
    <mergeCell ref="D160:E161"/>
    <mergeCell ref="F160:G161"/>
    <mergeCell ref="B157:C157"/>
    <mergeCell ref="D157:E157"/>
    <mergeCell ref="F157:G157"/>
    <mergeCell ref="B158:C158"/>
    <mergeCell ref="D158:E158"/>
    <mergeCell ref="F158:G158"/>
    <mergeCell ref="B153:G154"/>
    <mergeCell ref="B155:C155"/>
    <mergeCell ref="D155:E155"/>
    <mergeCell ref="F155:G155"/>
    <mergeCell ref="B156:C156"/>
    <mergeCell ref="D156:E156"/>
    <mergeCell ref="F156:G156"/>
    <mergeCell ref="B148:C148"/>
    <mergeCell ref="D148:E148"/>
    <mergeCell ref="F148:G148"/>
    <mergeCell ref="B149:C149"/>
    <mergeCell ref="D149:E149"/>
    <mergeCell ref="F149:G149"/>
    <mergeCell ref="B146:C146"/>
    <mergeCell ref="D146:E146"/>
    <mergeCell ref="F146:G146"/>
    <mergeCell ref="B147:C147"/>
    <mergeCell ref="D147:E147"/>
    <mergeCell ref="F147:G147"/>
    <mergeCell ref="B141:C141"/>
    <mergeCell ref="G141:T141"/>
    <mergeCell ref="B142:C142"/>
    <mergeCell ref="G142:T142"/>
    <mergeCell ref="B144:G144"/>
    <mergeCell ref="B145:C145"/>
    <mergeCell ref="D145:E145"/>
    <mergeCell ref="F145:G145"/>
    <mergeCell ref="G134:T134"/>
    <mergeCell ref="B135:C135"/>
    <mergeCell ref="G135:T135"/>
    <mergeCell ref="B137:C137"/>
    <mergeCell ref="G137:T137"/>
    <mergeCell ref="B139:C139"/>
    <mergeCell ref="G139:T139"/>
    <mergeCell ref="F86:G86"/>
    <mergeCell ref="F87:G87"/>
    <mergeCell ref="F126:G126"/>
    <mergeCell ref="B127:C127"/>
    <mergeCell ref="F127:G127"/>
    <mergeCell ref="B128:C128"/>
    <mergeCell ref="F128:G128"/>
    <mergeCell ref="B77:E77"/>
    <mergeCell ref="B78:E78"/>
    <mergeCell ref="F78:G78"/>
    <mergeCell ref="B79:E79"/>
    <mergeCell ref="F79:G79"/>
    <mergeCell ref="F83:G83"/>
    <mergeCell ref="F77:G77"/>
    <mergeCell ref="F71:G71"/>
    <mergeCell ref="F72:G72"/>
    <mergeCell ref="F73:G73"/>
    <mergeCell ref="F74:G74"/>
    <mergeCell ref="F75:G75"/>
    <mergeCell ref="B76:E76"/>
    <mergeCell ref="F76:G76"/>
    <mergeCell ref="B73:E73"/>
    <mergeCell ref="B71:E71"/>
    <mergeCell ref="F64:G64"/>
    <mergeCell ref="B65:E65"/>
    <mergeCell ref="B66:E66"/>
    <mergeCell ref="F66:G66"/>
    <mergeCell ref="F69:G69"/>
    <mergeCell ref="B70:E70"/>
    <mergeCell ref="F70:G70"/>
    <mergeCell ref="B60:E60"/>
    <mergeCell ref="F60:G60"/>
    <mergeCell ref="B61:E61"/>
    <mergeCell ref="F61:G61"/>
    <mergeCell ref="F62:G62"/>
    <mergeCell ref="F63:G63"/>
    <mergeCell ref="B56:E56"/>
    <mergeCell ref="F56:G56"/>
    <mergeCell ref="F57:G57"/>
    <mergeCell ref="B58:E58"/>
    <mergeCell ref="F58:G58"/>
    <mergeCell ref="B59:E59"/>
    <mergeCell ref="F59:G59"/>
    <mergeCell ref="B53:E53"/>
    <mergeCell ref="F53:G53"/>
    <mergeCell ref="B54:E54"/>
    <mergeCell ref="F54:G54"/>
    <mergeCell ref="B55:E55"/>
    <mergeCell ref="F55:G55"/>
    <mergeCell ref="B50:E50"/>
    <mergeCell ref="F50:G50"/>
    <mergeCell ref="B51:E51"/>
    <mergeCell ref="F51:G51"/>
    <mergeCell ref="B52:E52"/>
    <mergeCell ref="F52:G52"/>
    <mergeCell ref="B44:E44"/>
    <mergeCell ref="F44:G44"/>
    <mergeCell ref="F46:G46"/>
    <mergeCell ref="B48:E48"/>
    <mergeCell ref="F48:G48"/>
    <mergeCell ref="B49:E49"/>
    <mergeCell ref="F49:G49"/>
    <mergeCell ref="B41:E41"/>
    <mergeCell ref="F41:G41"/>
    <mergeCell ref="B42:E42"/>
    <mergeCell ref="F42:G42"/>
    <mergeCell ref="B43:E43"/>
    <mergeCell ref="F43:G43"/>
    <mergeCell ref="B38:E38"/>
    <mergeCell ref="F38:G38"/>
    <mergeCell ref="B39:E39"/>
    <mergeCell ref="F39:G39"/>
    <mergeCell ref="B40:E40"/>
    <mergeCell ref="F40:G40"/>
    <mergeCell ref="A29:C29"/>
    <mergeCell ref="B34:E34"/>
    <mergeCell ref="B35:E35"/>
    <mergeCell ref="F35:G35"/>
    <mergeCell ref="F36:G36"/>
    <mergeCell ref="B37:E37"/>
    <mergeCell ref="F37:G37"/>
    <mergeCell ref="B31:E31"/>
    <mergeCell ref="B24:E24"/>
    <mergeCell ref="F24:G24"/>
    <mergeCell ref="B25:E25"/>
    <mergeCell ref="F25:G25"/>
    <mergeCell ref="F26:G26"/>
    <mergeCell ref="B27:E27"/>
    <mergeCell ref="F27:G27"/>
    <mergeCell ref="F18:G18"/>
    <mergeCell ref="B19:E19"/>
    <mergeCell ref="F19:G19"/>
    <mergeCell ref="F20:G20"/>
    <mergeCell ref="F21:G21"/>
    <mergeCell ref="B22:E22"/>
    <mergeCell ref="F22:G22"/>
    <mergeCell ref="A12:J12"/>
    <mergeCell ref="A13:K13"/>
    <mergeCell ref="A15:C15"/>
    <mergeCell ref="F15:G15"/>
    <mergeCell ref="B17:E17"/>
    <mergeCell ref="F17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Орбита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Мануева Любовь</dc:creator>
  <cp:keywords/>
  <dc:description/>
  <cp:lastModifiedBy>Мануева Любовь</cp:lastModifiedBy>
  <cp:lastPrinted>2015-04-15T05:56:29Z</cp:lastPrinted>
  <dcterms:created xsi:type="dcterms:W3CDTF">2011-02-26T10:16:07Z</dcterms:created>
  <dcterms:modified xsi:type="dcterms:W3CDTF">2015-04-15T06:02:59Z</dcterms:modified>
  <cp:category/>
  <cp:version/>
  <cp:contentType/>
  <cp:contentStatus/>
</cp:coreProperties>
</file>