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0" windowWidth="12420" windowHeight="9792" activeTab="1"/>
  </bookViews>
  <sheets>
    <sheet name="2010" sheetId="1" r:id="rId1"/>
    <sheet name="201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<sst xmlns="http://schemas.openxmlformats.org/spreadsheetml/2006/main" count="127" uniqueCount="107">
  <si>
    <t>Смета доходов и расходов</t>
  </si>
  <si>
    <t>по ТСЖ ЖСК Орбита за 2010 г.</t>
  </si>
  <si>
    <t>Доходы</t>
  </si>
  <si>
    <t>Аренда подсобного помещения</t>
  </si>
  <si>
    <t>Сборы за техн.обсл.здания</t>
  </si>
  <si>
    <t>Капитальный ремонт дома</t>
  </si>
  <si>
    <t>% по остатку денежных средств</t>
  </si>
  <si>
    <t>Остаток по кассе на 01.01.2010 г.</t>
  </si>
  <si>
    <t>ИТОГО:</t>
  </si>
  <si>
    <t>Расходы</t>
  </si>
  <si>
    <t xml:space="preserve">Заработная плата </t>
  </si>
  <si>
    <t>Отчисления в ПФР</t>
  </si>
  <si>
    <t>Отчисления в ИФНС (НДФЛ)</t>
  </si>
  <si>
    <t>Отчисления в ИФНС (аренда)</t>
  </si>
  <si>
    <t>Электроэнергия</t>
  </si>
  <si>
    <t>Телефон правления</t>
  </si>
  <si>
    <t>% за услуги банка</t>
  </si>
  <si>
    <t>Уборка снега  и мусора, проведение субботника</t>
  </si>
  <si>
    <t>Хоз.нужды, материалы и канц. Товары</t>
  </si>
  <si>
    <t>Ремонтные и аварийные работы</t>
  </si>
  <si>
    <t>Полная замена тепл.узла с уст.электр.сч.</t>
  </si>
  <si>
    <t>Дератизация от блох и мышей в подвале</t>
  </si>
  <si>
    <t>Ремонт дороги вдоль дома и в районе мусоросб.</t>
  </si>
  <si>
    <t>Оказание единовр. помощи пострадавшим</t>
  </si>
  <si>
    <t>Благоустройство территории</t>
  </si>
  <si>
    <t>Прочистка вент.каналов</t>
  </si>
  <si>
    <t>Юридич. сопровожд.</t>
  </si>
  <si>
    <t>Остаток по банку на 01.01.2010 г.</t>
  </si>
  <si>
    <t>Ревизия</t>
  </si>
  <si>
    <t>Окна</t>
  </si>
  <si>
    <t>94595+7106.5</t>
  </si>
  <si>
    <t>143345,МО.Наро-Фоминский р-н</t>
  </si>
  <si>
    <t>р/с       40703810540270124036</t>
  </si>
  <si>
    <t>п.Селятино.д.Орбита</t>
  </si>
  <si>
    <t>БИК     044525225</t>
  </si>
  <si>
    <t xml:space="preserve">к/сч.    30101810400000000225 </t>
  </si>
  <si>
    <t>инн/кпп 503009169 /503001001</t>
  </si>
  <si>
    <t>ОСБ 2572/080 СБ России г.Москва</t>
  </si>
  <si>
    <t xml:space="preserve"> /080 СБ России  г.Москва</t>
  </si>
  <si>
    <t>----------------------------------------------------------------------------------------------------------------------------------</t>
  </si>
  <si>
    <t xml:space="preserve">тел.8 (496)342-33-76 </t>
  </si>
  <si>
    <t>по ТСЖ ЖСК Орбита на 2011 г.</t>
  </si>
  <si>
    <t>Остаток по кассе на 01.01.2011 г.</t>
  </si>
  <si>
    <t>Остаток по банку на 01.01.2011 г.</t>
  </si>
  <si>
    <t>Прочие (Бивег.Дримлайн.фотосал.уборщ.)</t>
  </si>
  <si>
    <t>Оформление лимита (экология)</t>
  </si>
  <si>
    <t>Хоз.нужды, материалы и канц. Товары.почт.расх.</t>
  </si>
  <si>
    <t>Служ.разъезды.поздравления</t>
  </si>
  <si>
    <t>Промывка и опрессовка стояков и бат. Отопл.</t>
  </si>
  <si>
    <t>Благоустр-во тер. (очистка снега и пров.суб.)</t>
  </si>
  <si>
    <t>Услуги юриста</t>
  </si>
  <si>
    <t>Ремонт козырьков над входами</t>
  </si>
  <si>
    <t>Дезинфекция от блох</t>
  </si>
  <si>
    <t>Противопож.обсл. В аренд.пом.</t>
  </si>
  <si>
    <t>Приведение в порядок противопож.обор.</t>
  </si>
  <si>
    <t>Вывоз ТБО</t>
  </si>
  <si>
    <t>ИФНС (зем.налог)</t>
  </si>
  <si>
    <t>Товарищество собственников жилья</t>
  </si>
  <si>
    <t xml:space="preserve">          Антипина Н.Н.</t>
  </si>
  <si>
    <t>Утверждено на собрании</t>
  </si>
  <si>
    <t xml:space="preserve">протокол № </t>
  </si>
  <si>
    <t>от</t>
  </si>
  <si>
    <t>Техн.обсл.узла учета тепл.</t>
  </si>
  <si>
    <t>Составили:</t>
  </si>
  <si>
    <t xml:space="preserve">          Типикина Г.М.</t>
  </si>
  <si>
    <t>Премиальный фонд</t>
  </si>
  <si>
    <t>январь</t>
  </si>
  <si>
    <t>февраль</t>
  </si>
  <si>
    <t>март</t>
  </si>
  <si>
    <t>апрель</t>
  </si>
  <si>
    <t>май</t>
  </si>
  <si>
    <t>июнь</t>
  </si>
  <si>
    <t>сошников оконч.расчет</t>
  </si>
  <si>
    <t>июль</t>
  </si>
  <si>
    <t>август</t>
  </si>
  <si>
    <t>сентябрь</t>
  </si>
  <si>
    <t>госпошлина</t>
  </si>
  <si>
    <t>Отчисления в ИФНС (аренда)прибыль</t>
  </si>
  <si>
    <t>скс</t>
  </si>
  <si>
    <t>нтэк</t>
  </si>
  <si>
    <t>мособлгаз</t>
  </si>
  <si>
    <t>пени</t>
  </si>
  <si>
    <t>домофон</t>
  </si>
  <si>
    <t>возврат госпошл</t>
  </si>
  <si>
    <t>селятино-строй</t>
  </si>
  <si>
    <t>копии в ифнс</t>
  </si>
  <si>
    <t>экопроект</t>
  </si>
  <si>
    <t>октябрь</t>
  </si>
  <si>
    <t>ноябрь</t>
  </si>
  <si>
    <t>декабрь</t>
  </si>
  <si>
    <t>Итого</t>
  </si>
  <si>
    <t xml:space="preserve"> </t>
  </si>
  <si>
    <t>очистка дорог от снега .крыш</t>
  </si>
  <si>
    <t>отопл.,гор.в.</t>
  </si>
  <si>
    <t>ХВС,кан,</t>
  </si>
  <si>
    <t>газ</t>
  </si>
  <si>
    <t>антенна</t>
  </si>
  <si>
    <t>дезобр.</t>
  </si>
  <si>
    <t>уборка пом</t>
  </si>
  <si>
    <t>доп.усл</t>
  </si>
  <si>
    <t>перерасчет</t>
  </si>
  <si>
    <t>тбо</t>
  </si>
  <si>
    <t>система видеонабл.</t>
  </si>
  <si>
    <t xml:space="preserve">    ОРБИТА</t>
  </si>
  <si>
    <t>Аварийные и рем.работы, вкл.рем.балконов(стройИмпекс)</t>
  </si>
  <si>
    <t>Долевое участие в ремонте дороги(отделстрой)</t>
  </si>
  <si>
    <t>Полная замена труб ГВС с сост.сметы(СелятиноСтрой)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</si>
</sst>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21">
    <font>
      <sz val="1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20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20"/>
      <name val="Arial Cyr"/>
      <family val="0"/>
    </font>
    <font>
      <b/>
      <sz val="12"/>
      <name val="Arial Cyr"/>
      <family val="0"/>
    </font>
    <font>
      <b/>
      <sz val="10"/>
      <color indexed="12"/>
      <name val="Arial Cyr"/>
      <family val="0"/>
    </font>
    <font>
      <b/>
      <sz val="10"/>
      <color indexed="14"/>
      <name val="Arial Cyr"/>
      <family val="0"/>
    </font>
    <font>
      <sz val="10"/>
      <color indexed="8"/>
      <name val="Arial Cyr"/>
      <family val="0"/>
    </font>
    <font>
      <b/>
      <sz val="10"/>
      <color indexed="61"/>
      <name val="Arial Cyr"/>
      <family val="0"/>
    </font>
    <font>
      <b/>
      <sz val="10"/>
      <color indexed="57"/>
      <name val="Arial Cyr"/>
      <family val="0"/>
    </font>
    <font>
      <b/>
      <sz val="10"/>
      <color indexed="46"/>
      <name val="Arial Cyr"/>
      <family val="0"/>
    </font>
    <font>
      <b/>
      <sz val="10"/>
      <color indexed="52"/>
      <name val="Arial Cyr"/>
      <family val="0"/>
    </font>
    <font>
      <b/>
      <sz val="10"/>
      <color indexed="8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 quotePrefix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5" fillId="2" borderId="0" xfId="0" applyFont="1" applyFill="1" applyAlignment="1">
      <alignment/>
    </xf>
    <xf numFmtId="0" fontId="16" fillId="0" borderId="0" xfId="0" applyFont="1" applyAlignment="1">
      <alignment/>
    </xf>
    <xf numFmtId="0" fontId="17" fillId="2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0" fillId="0" borderId="1" xfId="0" applyBorder="1" applyAlignment="1">
      <alignment/>
    </xf>
    <xf numFmtId="2" fontId="8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5" fillId="0" borderId="1" xfId="0" applyFont="1" applyBorder="1" applyAlignment="1">
      <alignment/>
    </xf>
    <xf numFmtId="0" fontId="13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2" fillId="0" borderId="1" xfId="0" applyFont="1" applyBorder="1" applyAlignment="1">
      <alignment/>
    </xf>
    <xf numFmtId="2" fontId="12" fillId="0" borderId="1" xfId="0" applyNumberFormat="1" applyFont="1" applyBorder="1" applyAlignment="1">
      <alignment/>
    </xf>
    <xf numFmtId="0" fontId="15" fillId="2" borderId="1" xfId="0" applyFont="1" applyFill="1" applyBorder="1" applyAlignment="1">
      <alignment/>
    </xf>
    <xf numFmtId="2" fontId="19" fillId="0" borderId="0" xfId="0" applyNumberFormat="1" applyFont="1" applyAlignment="1">
      <alignment/>
    </xf>
    <xf numFmtId="0" fontId="19" fillId="0" borderId="0" xfId="0" applyFont="1" applyAlignment="1">
      <alignment/>
    </xf>
    <xf numFmtId="2" fontId="16" fillId="0" borderId="1" xfId="0" applyNumberFormat="1" applyFont="1" applyBorder="1" applyAlignment="1">
      <alignment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/>
    </xf>
    <xf numFmtId="2" fontId="5" fillId="0" borderId="1" xfId="0" applyNumberFormat="1" applyFont="1" applyBorder="1" applyAlignment="1">
      <alignment/>
    </xf>
    <xf numFmtId="2" fontId="16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8" fillId="0" borderId="1" xfId="0" applyFont="1" applyFill="1" applyBorder="1" applyAlignment="1">
      <alignment/>
    </xf>
    <xf numFmtId="2" fontId="8" fillId="0" borderId="1" xfId="0" applyNumberFormat="1" applyFont="1" applyFill="1" applyBorder="1" applyAlignment="1">
      <alignment/>
    </xf>
    <xf numFmtId="0" fontId="20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E11" sqref="E11"/>
    </sheetView>
  </sheetViews>
  <sheetFormatPr defaultColWidth="9.00390625" defaultRowHeight="12.75"/>
  <cols>
    <col min="5" max="5" width="16.25390625" style="0" customWidth="1"/>
    <col min="10" max="10" width="8.875" style="3" customWidth="1"/>
  </cols>
  <sheetData>
    <row r="1" spans="1:10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1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4" spans="1:3" ht="17.25">
      <c r="A4" s="39" t="s">
        <v>2</v>
      </c>
      <c r="B4" s="39"/>
      <c r="C4" s="39"/>
    </row>
    <row r="6" spans="1:10" ht="12.75">
      <c r="A6">
        <v>1</v>
      </c>
      <c r="B6" s="38" t="s">
        <v>3</v>
      </c>
      <c r="C6" s="38"/>
      <c r="D6" s="38"/>
      <c r="E6" s="38"/>
      <c r="F6" s="37">
        <f>901684.97+77805</f>
        <v>979489.97</v>
      </c>
      <c r="G6" s="37"/>
      <c r="J6" s="3">
        <f>4200+86473.15+7500+4200+15000+49450+13000+2500+4980+4200+49450+13000+4980+7500+2500+4000+15000+2500+4980+13000+2434.51+49450+2500+4980+13000+49450+2500+4200+4980+15000+408.31+49450+13000+4200+2500+4980+4980+49400+4200+13000+2500+4980+4200+49450+13000+2500+1421.4+49450+13000+4200+4980+2500+199.55+4200+4980+49450+13000+2500+15000+11115+11115+2500+11115+2100+2500</f>
        <v>884981.92</v>
      </c>
    </row>
    <row r="7" spans="1:7" ht="12.75">
      <c r="A7">
        <v>2</v>
      </c>
      <c r="B7" s="38" t="s">
        <v>4</v>
      </c>
      <c r="C7" s="38"/>
      <c r="D7" s="38"/>
      <c r="E7" s="38"/>
      <c r="F7" s="37">
        <v>1251694.62</v>
      </c>
      <c r="G7" s="37"/>
    </row>
    <row r="8" spans="1:7" ht="12.75">
      <c r="A8">
        <v>3</v>
      </c>
      <c r="B8" s="38" t="s">
        <v>5</v>
      </c>
      <c r="C8" s="38"/>
      <c r="D8" s="38"/>
      <c r="E8" s="38"/>
      <c r="F8" s="37">
        <v>171169.92</v>
      </c>
      <c r="G8" s="37"/>
    </row>
    <row r="9" spans="1:10" ht="12.75">
      <c r="A9">
        <v>4</v>
      </c>
      <c r="B9" s="36" t="s">
        <v>6</v>
      </c>
      <c r="C9" s="36"/>
      <c r="D9" s="36"/>
      <c r="E9" s="36"/>
      <c r="F9" s="37">
        <v>11275.17</v>
      </c>
      <c r="G9" s="37"/>
      <c r="J9" s="3">
        <f>1262.34+1282.73+1080.21</f>
        <v>3625.2799999999997</v>
      </c>
    </row>
    <row r="10" spans="1:7" ht="12.75">
      <c r="A10">
        <v>5</v>
      </c>
      <c r="B10" s="36" t="s">
        <v>7</v>
      </c>
      <c r="C10" s="36"/>
      <c r="D10" s="36"/>
      <c r="E10" s="36"/>
      <c r="F10" s="37">
        <v>923.03</v>
      </c>
      <c r="G10" s="37"/>
    </row>
    <row r="11" spans="1:7" ht="12.75">
      <c r="A11">
        <v>6</v>
      </c>
      <c r="B11" s="1" t="s">
        <v>27</v>
      </c>
      <c r="C11" s="1"/>
      <c r="D11" s="1"/>
      <c r="E11" s="1"/>
      <c r="F11" s="37">
        <v>2290973.55</v>
      </c>
      <c r="G11" s="37"/>
    </row>
    <row r="12" spans="2:7" ht="12.75">
      <c r="B12" s="36" t="s">
        <v>8</v>
      </c>
      <c r="C12" s="36"/>
      <c r="D12" s="36"/>
      <c r="E12" s="36"/>
      <c r="F12" s="37">
        <f>SUM(F6:F11)</f>
        <v>4705526.26</v>
      </c>
      <c r="G12" s="37"/>
    </row>
    <row r="14" spans="1:3" ht="17.25">
      <c r="A14" s="39" t="s">
        <v>9</v>
      </c>
      <c r="B14" s="39"/>
      <c r="C14" s="39"/>
    </row>
    <row r="16" spans="1:11" ht="12.75">
      <c r="A16">
        <v>1</v>
      </c>
      <c r="B16" s="38" t="s">
        <v>10</v>
      </c>
      <c r="C16" s="38"/>
      <c r="D16" s="38"/>
      <c r="E16" s="38"/>
      <c r="F16" s="37">
        <v>877337</v>
      </c>
      <c r="G16" s="37"/>
      <c r="J16" s="3">
        <f>54500+54562+1500+3000+55000+6865+65300+65300+65300+69000+65600+65600+65600+65600+65600+64510</f>
        <v>832837</v>
      </c>
      <c r="K16" s="4">
        <f>F16-J16</f>
        <v>44500</v>
      </c>
    </row>
    <row r="17" spans="1:11" ht="12.75">
      <c r="A17">
        <v>2</v>
      </c>
      <c r="B17" s="38" t="s">
        <v>11</v>
      </c>
      <c r="C17" s="38"/>
      <c r="D17" s="38"/>
      <c r="E17" s="38"/>
      <c r="F17" s="37">
        <v>246273.18</v>
      </c>
      <c r="G17" s="37"/>
      <c r="J17" s="3">
        <f>94595+7106.5+2179+3258+15036+20048</f>
        <v>142222.5</v>
      </c>
      <c r="K17" t="s">
        <v>30</v>
      </c>
    </row>
    <row r="18" spans="1:12" ht="12.75">
      <c r="A18">
        <v>3</v>
      </c>
      <c r="B18" s="38" t="s">
        <v>12</v>
      </c>
      <c r="C18" s="38"/>
      <c r="D18" s="38"/>
      <c r="E18" s="38"/>
      <c r="F18" s="37">
        <v>114054</v>
      </c>
      <c r="G18" s="37"/>
      <c r="K18">
        <v>7107</v>
      </c>
      <c r="L18">
        <v>501</v>
      </c>
    </row>
    <row r="19" spans="1:7" ht="12.75">
      <c r="A19">
        <v>4</v>
      </c>
      <c r="B19" s="36" t="s">
        <v>13</v>
      </c>
      <c r="C19" s="36"/>
      <c r="D19" s="36"/>
      <c r="E19" s="36"/>
      <c r="F19" s="37">
        <v>66893.1</v>
      </c>
      <c r="G19" s="37"/>
    </row>
    <row r="20" spans="1:10" ht="12.75">
      <c r="A20">
        <v>5</v>
      </c>
      <c r="B20" s="36" t="s">
        <v>14</v>
      </c>
      <c r="C20" s="36"/>
      <c r="D20" s="36"/>
      <c r="E20" s="36"/>
      <c r="F20" s="37">
        <v>78207.25</v>
      </c>
      <c r="G20" s="37"/>
      <c r="J20" s="3">
        <f>5852.16+6427.56</f>
        <v>12279.720000000001</v>
      </c>
    </row>
    <row r="21" spans="1:10" ht="12.75">
      <c r="A21">
        <v>6</v>
      </c>
      <c r="B21" s="36" t="s">
        <v>15</v>
      </c>
      <c r="C21" s="36"/>
      <c r="D21" s="36"/>
      <c r="E21" s="36"/>
      <c r="F21" s="37">
        <v>8923.32</v>
      </c>
      <c r="G21" s="37"/>
      <c r="J21" s="3">
        <f>119.24+1201.07+69.61+698.6+27.91</f>
        <v>2116.43</v>
      </c>
    </row>
    <row r="22" spans="1:10" ht="12.75">
      <c r="A22">
        <v>7</v>
      </c>
      <c r="B22" s="36" t="s">
        <v>16</v>
      </c>
      <c r="C22" s="36"/>
      <c r="D22" s="36"/>
      <c r="E22" s="36"/>
      <c r="F22" s="37">
        <v>53755</v>
      </c>
      <c r="G22" s="37"/>
      <c r="J22" s="3">
        <f>50+15+65+1640+15+1000+1390+115+100+80+1900+20+1000+30+1580+65+100+2000+115+1000</f>
        <v>12280</v>
      </c>
    </row>
    <row r="23" spans="1:10" ht="12.75">
      <c r="A23">
        <v>8</v>
      </c>
      <c r="B23" s="36" t="s">
        <v>17</v>
      </c>
      <c r="C23" s="36"/>
      <c r="D23" s="36"/>
      <c r="E23" s="36"/>
      <c r="F23" s="37">
        <f>1600+2500+3000+250+1000+4250+270+2000+7000+3000+205207.56</f>
        <v>230077.56</v>
      </c>
      <c r="G23" s="37"/>
      <c r="H23">
        <v>205207.56</v>
      </c>
      <c r="J23" s="3">
        <f>2000+2870</f>
        <v>4870</v>
      </c>
    </row>
    <row r="24" spans="1:10" ht="12.75">
      <c r="A24">
        <v>9</v>
      </c>
      <c r="B24" s="36" t="s">
        <v>18</v>
      </c>
      <c r="C24" s="36"/>
      <c r="D24" s="36"/>
      <c r="E24" s="36"/>
      <c r="F24" s="38">
        <f>55477.2+270+8444.25+3500+2250+6684.21+664.3+500+809+2201.45+1770+11156+6000+22880+3508.78+2345+432.25+2000</f>
        <v>130892.44</v>
      </c>
      <c r="G24" s="38"/>
      <c r="J24" s="3">
        <f>31.45+850+500+1300+920+20880+2770+3508.78</f>
        <v>30760.23</v>
      </c>
    </row>
    <row r="25" spans="1:10" ht="12.75">
      <c r="A25">
        <v>10</v>
      </c>
      <c r="B25" s="36" t="s">
        <v>19</v>
      </c>
      <c r="C25" s="36"/>
      <c r="D25" s="36"/>
      <c r="E25" s="36"/>
      <c r="F25" s="38">
        <f>22500+365000+85000+20000+9600</f>
        <v>502100</v>
      </c>
      <c r="G25" s="38"/>
      <c r="J25" s="3">
        <f>1000+4250+15000+2500+20000+75000+85000+7000+150000+500+80000+60000+20000+9600-375000+13000+4200+2000+14000+5000+3300+2000+2000</f>
        <v>200350</v>
      </c>
    </row>
    <row r="26" spans="1:10" ht="12.75">
      <c r="A26">
        <v>11</v>
      </c>
      <c r="B26" s="36" t="s">
        <v>20</v>
      </c>
      <c r="C26" s="36"/>
      <c r="D26" s="36"/>
      <c r="E26" s="36"/>
      <c r="F26" s="38">
        <f>571612</f>
        <v>571612</v>
      </c>
      <c r="G26" s="38"/>
      <c r="J26" s="3">
        <f>4000</f>
        <v>4000</v>
      </c>
    </row>
    <row r="27" spans="1:10" ht="12.75">
      <c r="A27">
        <v>12</v>
      </c>
      <c r="B27" s="36" t="s">
        <v>21</v>
      </c>
      <c r="C27" s="36"/>
      <c r="D27" s="36"/>
      <c r="E27" s="36"/>
      <c r="F27" s="37">
        <v>46684.6</v>
      </c>
      <c r="G27" s="37"/>
      <c r="J27" s="3">
        <f>1550.05+1550.05+1550.05</f>
        <v>4650.15</v>
      </c>
    </row>
    <row r="28" spans="1:7" ht="12.75">
      <c r="A28">
        <v>13</v>
      </c>
      <c r="B28" s="36" t="s">
        <v>22</v>
      </c>
      <c r="C28" s="36"/>
      <c r="D28" s="36"/>
      <c r="E28" s="36"/>
      <c r="F28" s="38"/>
      <c r="G28" s="38"/>
    </row>
    <row r="29" spans="1:10" ht="12.75">
      <c r="A29">
        <v>14</v>
      </c>
      <c r="B29" s="36" t="s">
        <v>23</v>
      </c>
      <c r="C29" s="36"/>
      <c r="D29" s="36"/>
      <c r="E29" s="36"/>
      <c r="F29" s="37">
        <v>250000</v>
      </c>
      <c r="G29" s="37"/>
      <c r="J29" s="3">
        <f>100000+100000+50000</f>
        <v>250000</v>
      </c>
    </row>
    <row r="30" spans="1:10" ht="12.75">
      <c r="A30">
        <v>15</v>
      </c>
      <c r="B30" s="36" t="s">
        <v>24</v>
      </c>
      <c r="C30" s="36"/>
      <c r="D30" s="36"/>
      <c r="E30" s="36"/>
      <c r="F30" s="38"/>
      <c r="G30" s="38"/>
      <c r="J30" s="3">
        <f>3000</f>
        <v>3000</v>
      </c>
    </row>
    <row r="31" spans="1:10" ht="12.75">
      <c r="A31">
        <v>16</v>
      </c>
      <c r="B31" s="36" t="s">
        <v>25</v>
      </c>
      <c r="C31" s="36"/>
      <c r="D31" s="36"/>
      <c r="E31" s="36"/>
      <c r="F31" s="38">
        <f>17000</f>
        <v>17000</v>
      </c>
      <c r="G31" s="38"/>
      <c r="J31" s="3">
        <f>17000</f>
        <v>17000</v>
      </c>
    </row>
    <row r="32" spans="1:10" ht="12.75">
      <c r="A32">
        <v>17</v>
      </c>
      <c r="B32" s="36" t="s">
        <v>26</v>
      </c>
      <c r="C32" s="36"/>
      <c r="D32" s="36"/>
      <c r="E32" s="36"/>
      <c r="F32" s="37">
        <v>270000</v>
      </c>
      <c r="G32" s="37"/>
      <c r="J32" s="3">
        <f>45000</f>
        <v>45000</v>
      </c>
    </row>
    <row r="33" spans="2:10" ht="12.75">
      <c r="B33" s="1" t="s">
        <v>28</v>
      </c>
      <c r="C33" s="1"/>
      <c r="D33" s="1"/>
      <c r="E33" s="1"/>
      <c r="F33" s="2"/>
      <c r="G33" s="2"/>
      <c r="J33" s="3">
        <v>35000</v>
      </c>
    </row>
    <row r="34" spans="2:10" ht="12.75">
      <c r="B34" s="1" t="s">
        <v>29</v>
      </c>
      <c r="C34" s="1"/>
      <c r="D34" s="1"/>
      <c r="E34" s="1"/>
      <c r="F34" s="2"/>
      <c r="G34" s="2"/>
      <c r="J34" s="3">
        <f>375000</f>
        <v>375000</v>
      </c>
    </row>
    <row r="35" spans="2:7" ht="12.75">
      <c r="B35" s="36" t="s">
        <v>8</v>
      </c>
      <c r="C35" s="36"/>
      <c r="D35" s="36"/>
      <c r="E35" s="36"/>
      <c r="F35" s="37">
        <f>SUM(F16:F32)</f>
        <v>3463809.45</v>
      </c>
      <c r="G35" s="38"/>
    </row>
  </sheetData>
  <mergeCells count="53">
    <mergeCell ref="A1:J1"/>
    <mergeCell ref="A2:K2"/>
    <mergeCell ref="A4:C4"/>
    <mergeCell ref="B6:E6"/>
    <mergeCell ref="B7:E7"/>
    <mergeCell ref="B8:E8"/>
    <mergeCell ref="B9:E9"/>
    <mergeCell ref="B10:E10"/>
    <mergeCell ref="B12:E12"/>
    <mergeCell ref="A14:C14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F16:G16"/>
    <mergeCell ref="F18:G18"/>
    <mergeCell ref="F17:G17"/>
    <mergeCell ref="F19:G19"/>
    <mergeCell ref="F20:G20"/>
    <mergeCell ref="F21:G21"/>
    <mergeCell ref="F22:G22"/>
    <mergeCell ref="F9:G9"/>
    <mergeCell ref="F6:G6"/>
    <mergeCell ref="F7:G7"/>
    <mergeCell ref="F8:G8"/>
    <mergeCell ref="F10:G10"/>
    <mergeCell ref="F12:G12"/>
    <mergeCell ref="F27:G27"/>
    <mergeCell ref="F32:G32"/>
    <mergeCell ref="F11:G11"/>
    <mergeCell ref="B35:E35"/>
    <mergeCell ref="F23:G23"/>
    <mergeCell ref="F24:G24"/>
    <mergeCell ref="F25:G25"/>
    <mergeCell ref="F26:G26"/>
    <mergeCell ref="F28:G28"/>
    <mergeCell ref="F29:G29"/>
    <mergeCell ref="F30:G30"/>
    <mergeCell ref="F31:G31"/>
    <mergeCell ref="F35:G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83"/>
  <sheetViews>
    <sheetView tabSelected="1" workbookViewId="0" topLeftCell="A1">
      <selection activeCell="Y10" sqref="Y10"/>
    </sheetView>
  </sheetViews>
  <sheetFormatPr defaultColWidth="9.00390625" defaultRowHeight="12.75"/>
  <cols>
    <col min="5" max="5" width="15.875" style="0" customWidth="1"/>
    <col min="6" max="6" width="8.875" style="8" customWidth="1"/>
    <col min="7" max="7" width="9.50390625" style="8" bestFit="1" customWidth="1"/>
    <col min="8" max="8" width="12.125" style="0" hidden="1" customWidth="1"/>
    <col min="9" max="9" width="10.50390625" style="0" hidden="1" customWidth="1"/>
    <col min="10" max="10" width="10.625" style="0" hidden="1" customWidth="1"/>
    <col min="11" max="11" width="10.00390625" style="0" hidden="1" customWidth="1"/>
    <col min="12" max="12" width="8.875" style="0" hidden="1" customWidth="1"/>
    <col min="13" max="13" width="9.75390625" style="0" hidden="1" customWidth="1"/>
    <col min="14" max="14" width="10.50390625" style="0" hidden="1" customWidth="1"/>
    <col min="15" max="15" width="9.50390625" style="0" hidden="1" customWidth="1"/>
    <col min="16" max="16" width="9.625" style="0" hidden="1" customWidth="1"/>
    <col min="17" max="18" width="9.50390625" style="0" hidden="1" customWidth="1"/>
    <col min="19" max="19" width="8.875" style="0" hidden="1" customWidth="1"/>
    <col min="20" max="20" width="14.00390625" style="11" customWidth="1"/>
    <col min="21" max="21" width="10.625" style="13" customWidth="1"/>
    <col min="24" max="24" width="10.50390625" style="0" bestFit="1" customWidth="1"/>
  </cols>
  <sheetData>
    <row r="2" ht="19.5" customHeight="1">
      <c r="B2" s="7" t="s">
        <v>57</v>
      </c>
    </row>
    <row r="3" spans="2:3" ht="22.5" customHeight="1">
      <c r="B3" s="5"/>
      <c r="C3" s="7" t="s">
        <v>103</v>
      </c>
    </row>
    <row r="5" spans="1:6" ht="12.75">
      <c r="A5" t="s">
        <v>31</v>
      </c>
      <c r="F5" s="8" t="s">
        <v>32</v>
      </c>
    </row>
    <row r="6" spans="1:6" ht="12.75">
      <c r="A6" t="s">
        <v>33</v>
      </c>
      <c r="F6" s="8" t="s">
        <v>34</v>
      </c>
    </row>
    <row r="7" spans="1:6" ht="12.75">
      <c r="A7" t="s">
        <v>40</v>
      </c>
      <c r="F7" s="8" t="s">
        <v>35</v>
      </c>
    </row>
    <row r="8" spans="6:24" ht="12.75">
      <c r="F8" s="8" t="s">
        <v>36</v>
      </c>
      <c r="X8" s="4">
        <f>T17+T20+T21</f>
        <v>1185006.45</v>
      </c>
    </row>
    <row r="9" spans="6:25" ht="12.75">
      <c r="F9" s="8" t="s">
        <v>37</v>
      </c>
      <c r="G9" s="8" t="s">
        <v>38</v>
      </c>
      <c r="X9">
        <f>52992+18000+300+125419.8+5748+2008+1035</f>
        <v>205502.8</v>
      </c>
      <c r="Y9">
        <f>360000+207040+8720.41+8509+20056+30000+21444.67+2787.81+7334</f>
        <v>665891.8900000001</v>
      </c>
    </row>
    <row r="10" ht="12.75">
      <c r="A10" s="6" t="s">
        <v>39</v>
      </c>
    </row>
    <row r="11" ht="12.75" hidden="1"/>
    <row r="12" spans="1:10" ht="21">
      <c r="A12" s="44" t="s">
        <v>0</v>
      </c>
      <c r="B12" s="44"/>
      <c r="C12" s="44"/>
      <c r="D12" s="44"/>
      <c r="E12" s="44"/>
      <c r="F12" s="44"/>
      <c r="G12" s="44"/>
      <c r="H12" s="44"/>
      <c r="I12" s="44"/>
      <c r="J12" s="44"/>
    </row>
    <row r="13" spans="1:11" ht="15">
      <c r="A13" s="45" t="s">
        <v>41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ht="3" customHeight="1">
      <c r="J14" s="3"/>
    </row>
    <row r="15" spans="1:20" ht="14.25" customHeight="1">
      <c r="A15" s="46" t="s">
        <v>2</v>
      </c>
      <c r="B15" s="46"/>
      <c r="C15" s="46"/>
      <c r="D15" s="15"/>
      <c r="E15" s="15"/>
      <c r="F15" s="16"/>
      <c r="G15" s="16"/>
      <c r="H15" s="15" t="s">
        <v>66</v>
      </c>
      <c r="I15" s="15" t="s">
        <v>67</v>
      </c>
      <c r="J15" s="17" t="s">
        <v>68</v>
      </c>
      <c r="K15" s="15" t="s">
        <v>69</v>
      </c>
      <c r="L15" s="15" t="s">
        <v>70</v>
      </c>
      <c r="M15" s="15" t="s">
        <v>71</v>
      </c>
      <c r="N15" s="15" t="s">
        <v>73</v>
      </c>
      <c r="O15" s="15" t="s">
        <v>74</v>
      </c>
      <c r="P15" s="15" t="s">
        <v>75</v>
      </c>
      <c r="Q15" s="15" t="s">
        <v>87</v>
      </c>
      <c r="R15" s="15" t="s">
        <v>88</v>
      </c>
      <c r="S15" s="15" t="s">
        <v>89</v>
      </c>
      <c r="T15" s="18" t="s">
        <v>90</v>
      </c>
    </row>
    <row r="16" spans="1:20" ht="9" customHeight="1">
      <c r="A16" s="15"/>
      <c r="B16" s="15"/>
      <c r="C16" s="15"/>
      <c r="D16" s="15"/>
      <c r="E16" s="15"/>
      <c r="F16" s="16"/>
      <c r="G16" s="16"/>
      <c r="H16" s="15"/>
      <c r="I16" s="15"/>
      <c r="J16" s="17"/>
      <c r="K16" s="15"/>
      <c r="L16" s="15"/>
      <c r="M16" s="15"/>
      <c r="N16" s="15"/>
      <c r="O16" s="15"/>
      <c r="P16" s="15"/>
      <c r="Q16" s="15"/>
      <c r="R16" s="15"/>
      <c r="S16" s="15"/>
      <c r="T16" s="18"/>
    </row>
    <row r="17" spans="1:21" ht="12.75">
      <c r="A17" s="15">
        <v>1</v>
      </c>
      <c r="B17" s="47" t="s">
        <v>3</v>
      </c>
      <c r="C17" s="47"/>
      <c r="D17" s="47"/>
      <c r="E17" s="47"/>
      <c r="F17" s="43">
        <v>1153560</v>
      </c>
      <c r="G17" s="43"/>
      <c r="H17" s="15">
        <f>5430+3000+14000+4800+54400+2500+4500</f>
        <v>88630</v>
      </c>
      <c r="I17" s="15">
        <f>14000+3000+4800+54400+5430+15000+2500+4500</f>
        <v>103630</v>
      </c>
      <c r="J17" s="17">
        <f>54400+14000+5430+3000+2500+4500</f>
        <v>83830</v>
      </c>
      <c r="K17" s="15">
        <f>14000+54400+4800+3000+15000+5430+4500</f>
        <v>101130</v>
      </c>
      <c r="L17" s="15">
        <f>54400+14000+3000+5430+4800+2500+4500</f>
        <v>88630</v>
      </c>
      <c r="M17" s="15">
        <f>14000+3000+54400+5430+15000+2500+4500</f>
        <v>98830</v>
      </c>
      <c r="N17" s="15">
        <f>14000+5430+3000+9600+54400+4800+14000+4500</f>
        <v>109730</v>
      </c>
      <c r="O17" s="15">
        <f>54400+3000+15000+5430+2500+4500</f>
        <v>84830</v>
      </c>
      <c r="P17" s="15">
        <f>54400+3000+5430+14000+4800+2500+4500</f>
        <v>88630</v>
      </c>
      <c r="Q17" s="15">
        <f>54400+3000+14000+9930+4800+15000+2500</f>
        <v>103630</v>
      </c>
      <c r="R17" s="15">
        <f>4800+3000+54400+14000+9930+2500</f>
        <v>88630</v>
      </c>
      <c r="S17" s="15">
        <f>3000+4800+54400+14000+15000+9930+14000</f>
        <v>115130</v>
      </c>
      <c r="T17" s="31">
        <f>H17+I17+J17+K17+L17+M17+N17+O17+P17+Q17+R17+S17</f>
        <v>1155260</v>
      </c>
      <c r="U17" s="29">
        <f>F17-T17</f>
        <v>-1700</v>
      </c>
    </row>
    <row r="18" spans="1:21" ht="12.75">
      <c r="A18" s="15">
        <v>2</v>
      </c>
      <c r="B18" s="47" t="s">
        <v>4</v>
      </c>
      <c r="C18" s="47"/>
      <c r="D18" s="47"/>
      <c r="E18" s="47"/>
      <c r="F18" s="43">
        <v>1521893</v>
      </c>
      <c r="G18" s="43"/>
      <c r="H18" s="15">
        <f>15072.95+74552.37</f>
        <v>89625.31999999999</v>
      </c>
      <c r="I18" s="15">
        <f>23923.96+89255.23</f>
        <v>113179.19</v>
      </c>
      <c r="J18" s="17">
        <f>18285.51+126337.63</f>
        <v>144623.14</v>
      </c>
      <c r="K18" s="15">
        <f>18151.18+91083.13</f>
        <v>109234.31</v>
      </c>
      <c r="L18" s="15">
        <f>19032.85+90270.88</f>
        <v>109303.73000000001</v>
      </c>
      <c r="M18" s="15">
        <f>14878.34+107571.71</f>
        <v>122450.05</v>
      </c>
      <c r="N18" s="15">
        <f>17768.88+96621.78</f>
        <v>114390.66</v>
      </c>
      <c r="O18" s="15">
        <f>16960.95+114871.75</f>
        <v>131832.7</v>
      </c>
      <c r="P18" s="15">
        <f>14505.87+106985.73</f>
        <v>121491.59999999999</v>
      </c>
      <c r="Q18" s="15">
        <f>17338.08+116367.67</f>
        <v>133705.75</v>
      </c>
      <c r="R18" s="15">
        <f>19239.79+119685.74</f>
        <v>138925.53</v>
      </c>
      <c r="S18" s="15">
        <f>17086.12+112223.12+118186.33</f>
        <v>247495.57</v>
      </c>
      <c r="T18" s="31">
        <f aca="true" t="shared" si="0" ref="T18:T24">H18+I18+J18+K18+L18+M18+N18+O18+P18+Q18+R18+S18</f>
        <v>1576257.5500000003</v>
      </c>
      <c r="U18" s="29">
        <f>F18-T18</f>
        <v>-54364.55000000028</v>
      </c>
    </row>
    <row r="19" spans="1:21" ht="12.75">
      <c r="A19" s="15">
        <v>3</v>
      </c>
      <c r="B19" s="47" t="s">
        <v>5</v>
      </c>
      <c r="C19" s="47"/>
      <c r="D19" s="47"/>
      <c r="E19" s="47"/>
      <c r="F19" s="43">
        <v>217060</v>
      </c>
      <c r="G19" s="43"/>
      <c r="H19" s="15">
        <f>13126.39</f>
        <v>13126.39</v>
      </c>
      <c r="I19" s="15">
        <v>14473.12</v>
      </c>
      <c r="J19" s="17">
        <v>19996.08</v>
      </c>
      <c r="K19" s="15">
        <v>15715.02</v>
      </c>
      <c r="L19" s="15">
        <v>16372.55</v>
      </c>
      <c r="M19" s="15">
        <v>17714.58</v>
      </c>
      <c r="N19" s="15">
        <v>15860.27</v>
      </c>
      <c r="O19" s="15">
        <v>18794.45</v>
      </c>
      <c r="P19" s="15">
        <v>17567.89</v>
      </c>
      <c r="Q19" s="15">
        <v>18919.11</v>
      </c>
      <c r="R19" s="15">
        <v>19807.36</v>
      </c>
      <c r="S19" s="15">
        <f>18360.01+1250.27</f>
        <v>19610.28</v>
      </c>
      <c r="T19" s="31">
        <f t="shared" si="0"/>
        <v>207957.1</v>
      </c>
      <c r="U19" s="29">
        <f>F19-T19</f>
        <v>9102.899999999994</v>
      </c>
    </row>
    <row r="20" spans="1:21" ht="12.75">
      <c r="A20" s="15">
        <v>4</v>
      </c>
      <c r="B20" s="19" t="s">
        <v>44</v>
      </c>
      <c r="C20" s="19"/>
      <c r="D20" s="19"/>
      <c r="E20" s="19"/>
      <c r="F20" s="20"/>
      <c r="G20" s="20">
        <f>53036</f>
        <v>53036</v>
      </c>
      <c r="H20" s="15">
        <f>552+700</f>
        <v>1252</v>
      </c>
      <c r="I20" s="15">
        <f>392.1</f>
        <v>392.1</v>
      </c>
      <c r="J20" s="17">
        <f>2400+1600+371.8+2400</f>
        <v>6771.8</v>
      </c>
      <c r="K20" s="15">
        <f>270.4+304.2+1175</f>
        <v>1749.6</v>
      </c>
      <c r="L20" s="15">
        <f>1600+439.4+2400</f>
        <v>4439.4</v>
      </c>
      <c r="M20" s="15">
        <f>574.6+323</f>
        <v>897.6</v>
      </c>
      <c r="N20" s="15">
        <f>1600+338</f>
        <v>1938</v>
      </c>
      <c r="O20" s="15"/>
      <c r="P20" s="15">
        <f>503.62</f>
        <v>503.62</v>
      </c>
      <c r="Q20" s="15">
        <f>405.6+3200+338</f>
        <v>3943.6</v>
      </c>
      <c r="R20" s="15">
        <f>338</f>
        <v>338</v>
      </c>
      <c r="S20" s="15">
        <f>155.48</f>
        <v>155.48</v>
      </c>
      <c r="T20" s="31">
        <f t="shared" si="0"/>
        <v>22381.199999999997</v>
      </c>
      <c r="U20" s="29">
        <f>G20-T20</f>
        <v>30654.800000000003</v>
      </c>
    </row>
    <row r="21" spans="1:21" ht="12.75">
      <c r="A21" s="15">
        <v>5</v>
      </c>
      <c r="B21" s="48" t="s">
        <v>6</v>
      </c>
      <c r="C21" s="48"/>
      <c r="D21" s="48"/>
      <c r="E21" s="48"/>
      <c r="F21" s="43">
        <v>10000</v>
      </c>
      <c r="G21" s="43"/>
      <c r="H21" s="15">
        <f>929.78</f>
        <v>929.78</v>
      </c>
      <c r="I21" s="15">
        <v>945.11</v>
      </c>
      <c r="J21" s="17">
        <f>745.91</f>
        <v>745.91</v>
      </c>
      <c r="K21" s="15">
        <v>815.53</v>
      </c>
      <c r="L21" s="15">
        <v>727.4</v>
      </c>
      <c r="M21" s="15">
        <v>650.69</v>
      </c>
      <c r="N21" s="15">
        <v>551.01</v>
      </c>
      <c r="O21" s="15">
        <v>490.16</v>
      </c>
      <c r="P21" s="15">
        <v>478.96</v>
      </c>
      <c r="Q21" s="15"/>
      <c r="R21" s="15">
        <v>486.29</v>
      </c>
      <c r="S21" s="15">
        <v>544.41</v>
      </c>
      <c r="T21" s="31">
        <f t="shared" si="0"/>
        <v>7365.25</v>
      </c>
      <c r="U21" s="29">
        <f>F21-T21</f>
        <v>2634.75</v>
      </c>
    </row>
    <row r="22" spans="1:21" ht="12.75">
      <c r="A22" s="15">
        <v>6</v>
      </c>
      <c r="B22" s="48" t="s">
        <v>42</v>
      </c>
      <c r="C22" s="48"/>
      <c r="D22" s="48"/>
      <c r="E22" s="48"/>
      <c r="F22" s="43">
        <v>903.14</v>
      </c>
      <c r="G22" s="43"/>
      <c r="H22" s="15"/>
      <c r="I22" s="15"/>
      <c r="J22" s="17"/>
      <c r="K22" s="15"/>
      <c r="L22" s="15"/>
      <c r="M22" s="15"/>
      <c r="N22" s="15"/>
      <c r="O22" s="15"/>
      <c r="P22" s="15"/>
      <c r="Q22" s="15"/>
      <c r="R22" s="15"/>
      <c r="S22" s="15"/>
      <c r="T22" s="31">
        <v>84196.67</v>
      </c>
      <c r="U22" s="29"/>
    </row>
    <row r="23" spans="1:21" ht="12.75">
      <c r="A23" s="15">
        <v>7</v>
      </c>
      <c r="B23" s="21" t="s">
        <v>43</v>
      </c>
      <c r="C23" s="21"/>
      <c r="D23" s="21"/>
      <c r="E23" s="21"/>
      <c r="F23" s="43">
        <v>2290973.55</v>
      </c>
      <c r="G23" s="43"/>
      <c r="H23" s="15"/>
      <c r="I23" s="15"/>
      <c r="J23" s="22"/>
      <c r="K23" s="15"/>
      <c r="L23" s="15"/>
      <c r="M23" s="15"/>
      <c r="N23" s="15"/>
      <c r="O23" s="15"/>
      <c r="P23" s="15"/>
      <c r="Q23" s="15"/>
      <c r="R23" s="15"/>
      <c r="S23" s="15"/>
      <c r="T23" s="31">
        <v>1296602.15</v>
      </c>
      <c r="U23" s="29" t="s">
        <v>91</v>
      </c>
    </row>
    <row r="24" spans="1:21" ht="12.75">
      <c r="A24" s="15"/>
      <c r="B24" s="49" t="s">
        <v>8</v>
      </c>
      <c r="C24" s="49"/>
      <c r="D24" s="49"/>
      <c r="E24" s="49"/>
      <c r="F24" s="43">
        <f>SUM(F17:F23)</f>
        <v>5194389.6899999995</v>
      </c>
      <c r="G24" s="43"/>
      <c r="H24" s="23">
        <f aca="true" t="shared" si="1" ref="H24:P24">SUM(H17:H23)</f>
        <v>193563.49000000002</v>
      </c>
      <c r="I24" s="23">
        <f t="shared" si="1"/>
        <v>232619.52</v>
      </c>
      <c r="J24" s="23">
        <f t="shared" si="1"/>
        <v>255966.93000000002</v>
      </c>
      <c r="K24" s="23">
        <f t="shared" si="1"/>
        <v>228644.46</v>
      </c>
      <c r="L24" s="23">
        <f t="shared" si="1"/>
        <v>219473.08</v>
      </c>
      <c r="M24" s="23">
        <f t="shared" si="1"/>
        <v>240542.92</v>
      </c>
      <c r="N24" s="23">
        <f t="shared" si="1"/>
        <v>242469.94</v>
      </c>
      <c r="O24" s="23">
        <f t="shared" si="1"/>
        <v>235947.31000000003</v>
      </c>
      <c r="P24" s="23">
        <f t="shared" si="1"/>
        <v>228672.06999999998</v>
      </c>
      <c r="Q24" s="23">
        <f>SUM(Q17:Q23)</f>
        <v>260198.46</v>
      </c>
      <c r="R24" s="23">
        <f>SUM(R17:R23)</f>
        <v>248187.18000000002</v>
      </c>
      <c r="S24" s="23">
        <f>SUM(S17:S23)</f>
        <v>382935.73999999993</v>
      </c>
      <c r="T24" s="31">
        <f t="shared" si="0"/>
        <v>2969221.1</v>
      </c>
      <c r="U24" s="29">
        <f>F24-T24</f>
        <v>2225168.5899999994</v>
      </c>
    </row>
    <row r="25" spans="1:21" ht="6" customHeight="1">
      <c r="A25" s="15"/>
      <c r="B25" s="15"/>
      <c r="C25" s="15"/>
      <c r="D25" s="15"/>
      <c r="E25" s="15"/>
      <c r="F25" s="16"/>
      <c r="G25" s="16"/>
      <c r="H25" s="15"/>
      <c r="I25" s="15"/>
      <c r="J25" s="22"/>
      <c r="K25" s="15"/>
      <c r="L25" s="15"/>
      <c r="M25" s="15"/>
      <c r="N25" s="15"/>
      <c r="O25" s="15"/>
      <c r="P25" s="15"/>
      <c r="Q25" s="15"/>
      <c r="R25" s="15"/>
      <c r="S25" s="15"/>
      <c r="T25" s="18"/>
      <c r="U25" s="30"/>
    </row>
    <row r="26" spans="1:21" ht="15" customHeight="1">
      <c r="A26" s="46" t="s">
        <v>9</v>
      </c>
      <c r="B26" s="46"/>
      <c r="C26" s="46"/>
      <c r="D26" s="15"/>
      <c r="E26" s="15"/>
      <c r="F26" s="16"/>
      <c r="G26" s="16"/>
      <c r="H26" s="15" t="s">
        <v>66</v>
      </c>
      <c r="I26" s="15"/>
      <c r="J26" s="22"/>
      <c r="K26" s="15"/>
      <c r="L26" s="15"/>
      <c r="M26" s="15"/>
      <c r="N26" s="15"/>
      <c r="O26" s="15"/>
      <c r="P26" s="15"/>
      <c r="Q26" s="15"/>
      <c r="R26" s="15"/>
      <c r="S26" s="15"/>
      <c r="T26" s="18"/>
      <c r="U26" s="30"/>
    </row>
    <row r="27" spans="1:21" ht="8.25" customHeight="1">
      <c r="A27" s="15"/>
      <c r="B27" s="15"/>
      <c r="C27" s="15"/>
      <c r="D27" s="15"/>
      <c r="E27" s="15"/>
      <c r="F27" s="16"/>
      <c r="G27" s="16"/>
      <c r="H27" s="15"/>
      <c r="I27" s="15"/>
      <c r="J27" s="22"/>
      <c r="K27" s="15"/>
      <c r="L27" s="15"/>
      <c r="M27" s="15"/>
      <c r="N27" s="15"/>
      <c r="O27" s="15"/>
      <c r="P27" s="15"/>
      <c r="Q27" s="15"/>
      <c r="R27" s="15"/>
      <c r="S27" s="15"/>
      <c r="T27" s="18"/>
      <c r="U27" s="30"/>
    </row>
    <row r="28" spans="1:21" ht="12.75">
      <c r="A28" s="15">
        <v>1</v>
      </c>
      <c r="B28" s="47" t="s">
        <v>10</v>
      </c>
      <c r="C28" s="47"/>
      <c r="D28" s="47"/>
      <c r="E28" s="47"/>
      <c r="F28" s="43">
        <v>877690</v>
      </c>
      <c r="G28" s="43"/>
      <c r="H28" s="22">
        <f>59600</f>
        <v>59600</v>
      </c>
      <c r="I28" s="22">
        <f>69940</f>
        <v>69940</v>
      </c>
      <c r="J28" s="22">
        <f>4000+3001+64020-15500</f>
        <v>55521</v>
      </c>
      <c r="K28" s="34">
        <f>69240</f>
        <v>69240</v>
      </c>
      <c r="L28" s="22">
        <f>10005+4000+8000+66630+3045-4598-4598</f>
        <v>82484</v>
      </c>
      <c r="M28" s="22">
        <f>7865+66630</f>
        <v>74495</v>
      </c>
      <c r="N28" s="22">
        <f>9307+5454+66917</f>
        <v>81678</v>
      </c>
      <c r="O28" s="22">
        <f>30216+30000+42000+70104-103960</f>
        <v>68360</v>
      </c>
      <c r="P28" s="22">
        <f>9000+72630</f>
        <v>81630</v>
      </c>
      <c r="Q28" s="22">
        <v>72630</v>
      </c>
      <c r="R28" s="22">
        <f>4000+20000+78230-22989</f>
        <v>79241</v>
      </c>
      <c r="S28" s="22">
        <f>10000+70561</f>
        <v>80561</v>
      </c>
      <c r="T28" s="31">
        <f>H28+I28+J28+K28+L28+M28+N28+O28+P28+Q28+R28+S28</f>
        <v>875380</v>
      </c>
      <c r="U28" s="29">
        <f>F28-T28</f>
        <v>2310</v>
      </c>
    </row>
    <row r="29" spans="1:21" ht="12.75">
      <c r="A29" s="15">
        <v>2</v>
      </c>
      <c r="B29" s="19" t="s">
        <v>65</v>
      </c>
      <c r="C29" s="19"/>
      <c r="D29" s="19"/>
      <c r="E29" s="19"/>
      <c r="F29" s="43">
        <v>70000</v>
      </c>
      <c r="G29" s="42"/>
      <c r="H29" s="15"/>
      <c r="I29" s="15"/>
      <c r="J29" s="17">
        <f>15500</f>
        <v>15500</v>
      </c>
      <c r="K29" s="24"/>
      <c r="L29" s="15"/>
      <c r="M29" s="15"/>
      <c r="N29" s="15"/>
      <c r="O29" s="15"/>
      <c r="P29" s="15"/>
      <c r="Q29" s="15"/>
      <c r="R29" s="15"/>
      <c r="S29" s="15"/>
      <c r="T29" s="31">
        <f aca="true" t="shared" si="2" ref="T29:T52">H29+I29+J29+K29+L29+M29+N29+O29+P29+Q29+R29+S29</f>
        <v>15500</v>
      </c>
      <c r="U29" s="29">
        <f>F29-T29</f>
        <v>54500</v>
      </c>
    </row>
    <row r="30" spans="1:21" ht="12.75">
      <c r="A30" s="15">
        <f>A29+1</f>
        <v>3</v>
      </c>
      <c r="B30" s="47" t="s">
        <v>11</v>
      </c>
      <c r="C30" s="47"/>
      <c r="D30" s="47"/>
      <c r="E30" s="47"/>
      <c r="F30" s="43">
        <v>324110</v>
      </c>
      <c r="G30" s="43"/>
      <c r="H30" s="22">
        <f>1252+1788+14168+5200</f>
        <v>22408</v>
      </c>
      <c r="I30" s="22">
        <f>596+0.7+8.3+52.9+756+803+2168+16663</f>
        <v>21047.9</v>
      </c>
      <c r="J30" s="22">
        <f>630+1429+1509+2215+17073</f>
        <v>22856</v>
      </c>
      <c r="K30" s="22">
        <f>1400+1410+2030+2171+16795</f>
        <v>23806</v>
      </c>
      <c r="L30" s="22">
        <f>1862+2700+2887+22800+1410</f>
        <v>31659</v>
      </c>
      <c r="M30" s="22">
        <f>70+102+108+911+1027+1295+1410+1553+12102</f>
        <v>18578</v>
      </c>
      <c r="N30" s="22">
        <f>1539+1890+2248.54+2283+18133</f>
        <v>26093.54</v>
      </c>
      <c r="O30" s="22">
        <f>3340+4864+5078+7151+36320-7192.32</f>
        <v>49560.68</v>
      </c>
      <c r="P30" s="22">
        <f>1563+1780+2288+2324+18601</f>
        <v>26556</v>
      </c>
      <c r="Q30" s="22">
        <f>1355+1769+1987+2002+15910</f>
        <v>23023</v>
      </c>
      <c r="R30" s="22">
        <f>1770+1918+2802+2874+23215</f>
        <v>32579</v>
      </c>
      <c r="S30" s="22">
        <f>1518+1770+2221+2256+18010</f>
        <v>25775</v>
      </c>
      <c r="T30" s="31">
        <f t="shared" si="2"/>
        <v>323942.12</v>
      </c>
      <c r="U30" s="29">
        <f aca="true" t="shared" si="3" ref="U30:U51">F30-T30</f>
        <v>167.88000000000466</v>
      </c>
    </row>
    <row r="31" spans="1:21" ht="12.75">
      <c r="A31" s="15">
        <f aca="true" t="shared" si="4" ref="A31:A51">A30+1</f>
        <v>4</v>
      </c>
      <c r="B31" s="47" t="s">
        <v>12</v>
      </c>
      <c r="C31" s="47"/>
      <c r="D31" s="47"/>
      <c r="E31" s="47"/>
      <c r="F31" s="43">
        <v>104746</v>
      </c>
      <c r="G31" s="43"/>
      <c r="H31" s="22">
        <v>7748</v>
      </c>
      <c r="I31" s="22">
        <v>9092</v>
      </c>
      <c r="J31" s="22">
        <v>9291</v>
      </c>
      <c r="K31" s="22">
        <v>9103</v>
      </c>
      <c r="L31" s="22">
        <v>12105</v>
      </c>
      <c r="M31" s="22">
        <v>8713</v>
      </c>
      <c r="N31" s="22">
        <v>10669</v>
      </c>
      <c r="O31" s="22">
        <f>22387-28362</f>
        <v>-5975</v>
      </c>
      <c r="P31" s="22">
        <v>10838</v>
      </c>
      <c r="Q31" s="22">
        <v>9493</v>
      </c>
      <c r="R31" s="22">
        <v>13145</v>
      </c>
      <c r="S31" s="22">
        <v>10524</v>
      </c>
      <c r="T31" s="31">
        <f t="shared" si="2"/>
        <v>104746</v>
      </c>
      <c r="U31" s="29">
        <f t="shared" si="3"/>
        <v>0</v>
      </c>
    </row>
    <row r="32" spans="1:21" ht="12.75">
      <c r="A32" s="15">
        <f t="shared" si="4"/>
        <v>5</v>
      </c>
      <c r="B32" s="48" t="s">
        <v>77</v>
      </c>
      <c r="C32" s="48"/>
      <c r="D32" s="48"/>
      <c r="E32" s="48"/>
      <c r="F32" s="43">
        <v>176806</v>
      </c>
      <c r="G32" s="43"/>
      <c r="H32" s="15"/>
      <c r="I32" s="15"/>
      <c r="J32" s="22">
        <v>15148</v>
      </c>
      <c r="K32" s="22">
        <v>18500</v>
      </c>
      <c r="L32" s="15"/>
      <c r="M32" s="15"/>
      <c r="N32" s="15"/>
      <c r="O32" s="15"/>
      <c r="P32" s="15"/>
      <c r="Q32" s="15"/>
      <c r="R32" s="15"/>
      <c r="S32" s="15"/>
      <c r="T32" s="31">
        <f t="shared" si="2"/>
        <v>33648</v>
      </c>
      <c r="U32" s="29">
        <f t="shared" si="3"/>
        <v>143158</v>
      </c>
    </row>
    <row r="33" spans="1:21" ht="12.75">
      <c r="A33" s="15">
        <f t="shared" si="4"/>
        <v>6</v>
      </c>
      <c r="B33" s="48" t="s">
        <v>14</v>
      </c>
      <c r="C33" s="48"/>
      <c r="D33" s="48"/>
      <c r="E33" s="48"/>
      <c r="F33" s="43">
        <v>80000</v>
      </c>
      <c r="G33" s="43"/>
      <c r="H33" s="15"/>
      <c r="I33" s="15"/>
      <c r="J33" s="17"/>
      <c r="K33" s="22">
        <f>6056.96</f>
        <v>6056.96</v>
      </c>
      <c r="L33" s="22">
        <v>5195.06</v>
      </c>
      <c r="M33" s="22">
        <v>10900</v>
      </c>
      <c r="N33" s="22">
        <v>4346.71</v>
      </c>
      <c r="O33" s="22">
        <f>4600+3800</f>
        <v>8400</v>
      </c>
      <c r="P33" s="22">
        <v>5138.3</v>
      </c>
      <c r="Q33" s="22">
        <v>5103.73</v>
      </c>
      <c r="R33" s="22">
        <v>3728.14</v>
      </c>
      <c r="S33" s="22">
        <v>6665.36</v>
      </c>
      <c r="T33" s="31">
        <f t="shared" si="2"/>
        <v>55534.259999999995</v>
      </c>
      <c r="U33" s="29">
        <f t="shared" si="3"/>
        <v>24465.740000000005</v>
      </c>
    </row>
    <row r="34" spans="1:21" ht="12.75">
      <c r="A34" s="15">
        <f t="shared" si="4"/>
        <v>7</v>
      </c>
      <c r="B34" s="48" t="s">
        <v>15</v>
      </c>
      <c r="C34" s="48"/>
      <c r="D34" s="48"/>
      <c r="E34" s="48"/>
      <c r="F34" s="43">
        <v>10000</v>
      </c>
      <c r="G34" s="43"/>
      <c r="H34" s="22">
        <f>615.37+53.86</f>
        <v>669.23</v>
      </c>
      <c r="I34" s="22">
        <f>673.54+50.16</f>
        <v>723.6999999999999</v>
      </c>
      <c r="J34" s="22">
        <f>83.86</f>
        <v>83.86</v>
      </c>
      <c r="K34" s="22">
        <f>656.67+649.06+72.74</f>
        <v>1378.47</v>
      </c>
      <c r="L34" s="22">
        <f>69.66+731.44</f>
        <v>801.1</v>
      </c>
      <c r="M34" s="22">
        <f>66.04+631.3</f>
        <v>697.3399999999999</v>
      </c>
      <c r="N34" s="22">
        <f>89.76+669.36</f>
        <v>759.12</v>
      </c>
      <c r="O34" s="22">
        <f>91.6+633.84</f>
        <v>725.44</v>
      </c>
      <c r="P34" s="22">
        <f>676.97</f>
        <v>676.97</v>
      </c>
      <c r="Q34" s="22">
        <f>49.99+643.99</f>
        <v>693.98</v>
      </c>
      <c r="R34" s="22">
        <f>100.43+656.67</f>
        <v>757.0999999999999</v>
      </c>
      <c r="S34" s="22">
        <f>107.58+646.52</f>
        <v>754.1</v>
      </c>
      <c r="T34" s="31">
        <f t="shared" si="2"/>
        <v>8720.410000000002</v>
      </c>
      <c r="U34" s="29">
        <f t="shared" si="3"/>
        <v>1279.5899999999983</v>
      </c>
    </row>
    <row r="35" spans="1:21" ht="12.75">
      <c r="A35" s="15">
        <f t="shared" si="4"/>
        <v>8</v>
      </c>
      <c r="B35" s="48" t="s">
        <v>16</v>
      </c>
      <c r="C35" s="48"/>
      <c r="D35" s="48"/>
      <c r="E35" s="48"/>
      <c r="F35" s="43">
        <v>55000</v>
      </c>
      <c r="G35" s="43"/>
      <c r="H35" s="22">
        <f>1250+95+15+1600+50+50+1000</f>
        <v>4060</v>
      </c>
      <c r="I35" s="22">
        <f>50+30+2100+50+15+1000+1800+65+1000</f>
        <v>6110</v>
      </c>
      <c r="J35" s="22">
        <f>115+650+15+1250+65+1450+50+50+1300+1400+1000</f>
        <v>7345</v>
      </c>
      <c r="K35" s="22">
        <f>95+1200+65+50+100+65+1000+850+15+65+700+1000</f>
        <v>5205</v>
      </c>
      <c r="L35" s="22">
        <f>65+1000+15+65+30+1000+1000</f>
        <v>3175</v>
      </c>
      <c r="M35" s="22">
        <f>50+50+115+1300+15+800+50+30+65+950+50+1250+50+100+900+65+1000</f>
        <v>6840</v>
      </c>
      <c r="N35" s="22">
        <f>65+130+1000+15+50+1450+50+95+100+600+1000</f>
        <v>4555</v>
      </c>
      <c r="O35" s="22">
        <f>15+700+750+1150+175+130+800+165+850+1000</f>
        <v>5735</v>
      </c>
      <c r="P35" s="22">
        <f>15.3+84.7+91.52+300+508.48+115+650+15+1350+100+30+1000+65+1200+100+30+1000</f>
        <v>6655</v>
      </c>
      <c r="Q35" s="22">
        <f>15+1100+50+65+1500+15+30+1150+65+800+200+1000+1400</f>
        <v>7390</v>
      </c>
      <c r="R35" s="22">
        <f>15+130+1300+30+700+80+850+700+50+1100+1000</f>
        <v>5955</v>
      </c>
      <c r="S35" s="22">
        <f>45+750+150+1000+15+1100+130+165+1000+1000</f>
        <v>5355</v>
      </c>
      <c r="T35" s="31">
        <f t="shared" si="2"/>
        <v>68380</v>
      </c>
      <c r="U35" s="29">
        <f t="shared" si="3"/>
        <v>-13380</v>
      </c>
    </row>
    <row r="36" spans="1:21" ht="12.75">
      <c r="A36" s="15">
        <f t="shared" si="4"/>
        <v>9</v>
      </c>
      <c r="B36" s="48" t="s">
        <v>45</v>
      </c>
      <c r="C36" s="48"/>
      <c r="D36" s="48"/>
      <c r="E36" s="48"/>
      <c r="F36" s="43">
        <v>30000</v>
      </c>
      <c r="G36" s="43"/>
      <c r="H36" s="15"/>
      <c r="I36" s="15"/>
      <c r="J36" s="22">
        <f>534.6</f>
        <v>534.6</v>
      </c>
      <c r="K36" s="25"/>
      <c r="L36" s="15"/>
      <c r="M36" s="22">
        <f>444+25000</f>
        <v>25444</v>
      </c>
      <c r="N36" s="15"/>
      <c r="O36" s="15"/>
      <c r="P36" s="22">
        <f>444</f>
        <v>444</v>
      </c>
      <c r="Q36" s="15"/>
      <c r="R36" s="15"/>
      <c r="S36" s="15"/>
      <c r="T36" s="31">
        <f t="shared" si="2"/>
        <v>26422.6</v>
      </c>
      <c r="U36" s="29">
        <f t="shared" si="3"/>
        <v>3577.4000000000015</v>
      </c>
    </row>
    <row r="37" spans="1:21" ht="12.75">
      <c r="A37" s="15">
        <f t="shared" si="4"/>
        <v>10</v>
      </c>
      <c r="B37" s="48" t="s">
        <v>46</v>
      </c>
      <c r="C37" s="48"/>
      <c r="D37" s="48"/>
      <c r="E37" s="48"/>
      <c r="F37" s="50">
        <v>50000</v>
      </c>
      <c r="G37" s="50"/>
      <c r="H37" s="22">
        <v>7499.15</v>
      </c>
      <c r="I37" s="15"/>
      <c r="J37" s="22">
        <v>3105</v>
      </c>
      <c r="K37" s="22">
        <f>3672.53+8273.24+3000-1150</f>
        <v>13795.77</v>
      </c>
      <c r="L37" s="22">
        <f>833.43+3000</f>
        <v>3833.43</v>
      </c>
      <c r="M37" s="22">
        <f>2895.67</f>
        <v>2895.67</v>
      </c>
      <c r="N37" s="22">
        <f>8320+3000+725.25+40000</f>
        <v>52045.25</v>
      </c>
      <c r="O37" s="22">
        <f>5815+15000+1270</f>
        <v>22085</v>
      </c>
      <c r="P37" s="22">
        <f>426+2990+3042.8+1225-0.2-3000</f>
        <v>4683.6</v>
      </c>
      <c r="Q37" s="15"/>
      <c r="R37" s="22">
        <f>350+1980+30000-30000-14000</f>
        <v>-11670</v>
      </c>
      <c r="S37" s="22">
        <f>454.45+1000</f>
        <v>1454.45</v>
      </c>
      <c r="T37" s="31">
        <f t="shared" si="2"/>
        <v>99727.31999999999</v>
      </c>
      <c r="U37" s="29">
        <f t="shared" si="3"/>
        <v>-49727.31999999999</v>
      </c>
    </row>
    <row r="38" spans="1:21" ht="12.75">
      <c r="A38" s="15">
        <f t="shared" si="4"/>
        <v>11</v>
      </c>
      <c r="B38" s="48" t="s">
        <v>47</v>
      </c>
      <c r="C38" s="48"/>
      <c r="D38" s="48"/>
      <c r="E38" s="48"/>
      <c r="F38" s="50">
        <v>10000</v>
      </c>
      <c r="G38" s="50"/>
      <c r="H38" s="22">
        <v>7422.18</v>
      </c>
      <c r="I38" s="15"/>
      <c r="J38" s="17"/>
      <c r="K38" s="25"/>
      <c r="L38" s="15" t="s">
        <v>91</v>
      </c>
      <c r="M38" s="15"/>
      <c r="N38" s="15"/>
      <c r="O38" s="15" t="s">
        <v>91</v>
      </c>
      <c r="P38" s="22">
        <f>11189.4+8749</f>
        <v>19938.4</v>
      </c>
      <c r="Q38" s="15"/>
      <c r="R38" s="15">
        <v>-17360.58</v>
      </c>
      <c r="S38" s="15"/>
      <c r="T38" s="31">
        <f>H38+P38+R38</f>
        <v>10000</v>
      </c>
      <c r="U38" s="29">
        <f t="shared" si="3"/>
        <v>0</v>
      </c>
    </row>
    <row r="39" spans="1:21" ht="12.75">
      <c r="A39" s="15">
        <f t="shared" si="4"/>
        <v>12</v>
      </c>
      <c r="B39" s="48" t="s">
        <v>106</v>
      </c>
      <c r="C39" s="48"/>
      <c r="D39" s="48"/>
      <c r="E39" s="48"/>
      <c r="F39" s="50">
        <v>670000</v>
      </c>
      <c r="G39" s="50"/>
      <c r="H39" s="15"/>
      <c r="I39" s="15"/>
      <c r="J39" s="17"/>
      <c r="K39" s="25"/>
      <c r="L39" s="15"/>
      <c r="M39" s="22">
        <f>35000</f>
        <v>35000</v>
      </c>
      <c r="N39" s="34">
        <f>35000+300000</f>
        <v>335000</v>
      </c>
      <c r="O39" s="34">
        <f>291695.71</f>
        <v>291695.71</v>
      </c>
      <c r="P39" s="15"/>
      <c r="Q39" s="15"/>
      <c r="R39" s="15">
        <f>22989</f>
        <v>22989</v>
      </c>
      <c r="S39" s="15"/>
      <c r="T39" s="31">
        <f t="shared" si="2"/>
        <v>684684.71</v>
      </c>
      <c r="U39" s="29">
        <f t="shared" si="3"/>
        <v>-14684.709999999963</v>
      </c>
    </row>
    <row r="40" spans="1:21" ht="12.75">
      <c r="A40" s="15">
        <f t="shared" si="4"/>
        <v>13</v>
      </c>
      <c r="B40" s="48" t="s">
        <v>48</v>
      </c>
      <c r="C40" s="48"/>
      <c r="D40" s="48"/>
      <c r="E40" s="48"/>
      <c r="F40" s="43">
        <v>170000</v>
      </c>
      <c r="G40" s="43"/>
      <c r="H40" s="15"/>
      <c r="I40" s="15"/>
      <c r="J40" s="17"/>
      <c r="K40" s="25"/>
      <c r="L40" s="15"/>
      <c r="M40" s="22">
        <v>170485</v>
      </c>
      <c r="N40" s="15"/>
      <c r="O40" s="15"/>
      <c r="P40" s="15"/>
      <c r="Q40" s="15"/>
      <c r="R40" s="15"/>
      <c r="S40" s="15"/>
      <c r="T40" s="31">
        <f t="shared" si="2"/>
        <v>170485</v>
      </c>
      <c r="U40" s="29">
        <f t="shared" si="3"/>
        <v>-485</v>
      </c>
    </row>
    <row r="41" spans="1:21" ht="12.75">
      <c r="A41" s="15">
        <f t="shared" si="4"/>
        <v>14</v>
      </c>
      <c r="B41" s="48" t="s">
        <v>49</v>
      </c>
      <c r="C41" s="48"/>
      <c r="D41" s="48"/>
      <c r="E41" s="48"/>
      <c r="F41" s="50">
        <v>50000</v>
      </c>
      <c r="G41" s="50"/>
      <c r="H41" s="15"/>
      <c r="I41" s="15"/>
      <c r="J41" s="17"/>
      <c r="K41" s="25">
        <f>1150</f>
        <v>1150</v>
      </c>
      <c r="L41" s="15">
        <v>4598</v>
      </c>
      <c r="M41" s="15"/>
      <c r="N41" s="15"/>
      <c r="O41" s="15"/>
      <c r="P41" s="15"/>
      <c r="Q41" s="15"/>
      <c r="R41" s="15">
        <f>30000+14000</f>
        <v>44000</v>
      </c>
      <c r="S41" s="15"/>
      <c r="T41" s="31">
        <f t="shared" si="2"/>
        <v>49748</v>
      </c>
      <c r="U41" s="29">
        <f t="shared" si="3"/>
        <v>252</v>
      </c>
    </row>
    <row r="42" spans="1:21" ht="12.75">
      <c r="A42" s="15">
        <f t="shared" si="4"/>
        <v>15</v>
      </c>
      <c r="B42" s="48" t="s">
        <v>50</v>
      </c>
      <c r="C42" s="48"/>
      <c r="D42" s="48"/>
      <c r="E42" s="48"/>
      <c r="F42" s="43">
        <v>360000</v>
      </c>
      <c r="G42" s="43"/>
      <c r="H42" s="15"/>
      <c r="I42" s="22">
        <f>30000</f>
        <v>30000</v>
      </c>
      <c r="J42" s="22">
        <v>30000</v>
      </c>
      <c r="K42" s="22">
        <v>30000</v>
      </c>
      <c r="L42" s="22">
        <v>30000</v>
      </c>
      <c r="M42" s="22">
        <f>30000+30000</f>
        <v>60000</v>
      </c>
      <c r="N42" s="22">
        <v>30000</v>
      </c>
      <c r="O42" s="22">
        <v>30000</v>
      </c>
      <c r="P42" s="15"/>
      <c r="Q42" s="22">
        <f>30000+30000</f>
        <v>60000</v>
      </c>
      <c r="R42" s="15"/>
      <c r="S42" s="22">
        <f>30000+30000</f>
        <v>60000</v>
      </c>
      <c r="T42" s="31">
        <f t="shared" si="2"/>
        <v>360000</v>
      </c>
      <c r="U42" s="29">
        <f t="shared" si="3"/>
        <v>0</v>
      </c>
    </row>
    <row r="43" spans="1:21" ht="12.75">
      <c r="A43" s="15">
        <f t="shared" si="4"/>
        <v>16</v>
      </c>
      <c r="B43" s="48" t="s">
        <v>51</v>
      </c>
      <c r="C43" s="48"/>
      <c r="D43" s="48"/>
      <c r="E43" s="48"/>
      <c r="F43" s="50">
        <v>50000</v>
      </c>
      <c r="G43" s="50"/>
      <c r="H43" s="15"/>
      <c r="I43" s="15"/>
      <c r="J43" s="17"/>
      <c r="K43" s="25">
        <v>139514.32</v>
      </c>
      <c r="L43" s="15"/>
      <c r="M43" s="15"/>
      <c r="N43" s="15"/>
      <c r="O43" s="15"/>
      <c r="P43" s="15"/>
      <c r="Q43" s="15"/>
      <c r="R43" s="15"/>
      <c r="S43" s="15"/>
      <c r="T43" s="31">
        <f t="shared" si="2"/>
        <v>139514.32</v>
      </c>
      <c r="U43" s="29">
        <f t="shared" si="3"/>
        <v>-89514.32</v>
      </c>
    </row>
    <row r="44" spans="1:21" ht="12.75">
      <c r="A44" s="15">
        <f t="shared" si="4"/>
        <v>17</v>
      </c>
      <c r="B44" s="51" t="s">
        <v>104</v>
      </c>
      <c r="C44" s="51"/>
      <c r="D44" s="51"/>
      <c r="E44" s="51"/>
      <c r="F44" s="50">
        <v>200000</v>
      </c>
      <c r="G44" s="50"/>
      <c r="H44" s="15"/>
      <c r="I44" s="15"/>
      <c r="J44" s="17"/>
      <c r="K44" s="25"/>
      <c r="L44" s="15"/>
      <c r="M44" s="22">
        <v>25000</v>
      </c>
      <c r="N44" s="15"/>
      <c r="O44" s="22">
        <f>25000</f>
        <v>25000</v>
      </c>
      <c r="P44" s="22">
        <v>150000</v>
      </c>
      <c r="Q44" s="15"/>
      <c r="R44" s="15"/>
      <c r="S44" s="15"/>
      <c r="T44" s="31">
        <f t="shared" si="2"/>
        <v>200000</v>
      </c>
      <c r="U44" s="29">
        <f t="shared" si="3"/>
        <v>0</v>
      </c>
    </row>
    <row r="45" spans="1:21" ht="12.75">
      <c r="A45" s="15">
        <f t="shared" si="4"/>
        <v>18</v>
      </c>
      <c r="B45" s="48" t="s">
        <v>105</v>
      </c>
      <c r="C45" s="48"/>
      <c r="D45" s="48"/>
      <c r="E45" s="48"/>
      <c r="F45" s="43">
        <v>200000</v>
      </c>
      <c r="G45" s="43"/>
      <c r="H45" s="15"/>
      <c r="I45" s="15"/>
      <c r="J45" s="17"/>
      <c r="K45" s="25"/>
      <c r="L45" s="22">
        <f>60000+40000+45000+30000</f>
        <v>175000</v>
      </c>
      <c r="M45" s="15"/>
      <c r="N45" s="15"/>
      <c r="O45" s="15"/>
      <c r="P45" s="15"/>
      <c r="Q45" s="15"/>
      <c r="R45" s="15"/>
      <c r="S45" s="15"/>
      <c r="T45" s="31">
        <f t="shared" si="2"/>
        <v>175000</v>
      </c>
      <c r="U45" s="29">
        <f t="shared" si="3"/>
        <v>25000</v>
      </c>
    </row>
    <row r="46" spans="1:21" ht="12.75">
      <c r="A46" s="15">
        <f t="shared" si="4"/>
        <v>19</v>
      </c>
      <c r="B46" s="21" t="s">
        <v>52</v>
      </c>
      <c r="C46" s="21"/>
      <c r="D46" s="21"/>
      <c r="E46" s="21"/>
      <c r="F46" s="43">
        <v>35000</v>
      </c>
      <c r="G46" s="42"/>
      <c r="H46" s="22">
        <f>1744.04</f>
        <v>1744.04</v>
      </c>
      <c r="I46" s="22">
        <v>1744.04</v>
      </c>
      <c r="J46" s="17"/>
      <c r="K46" s="22">
        <f>1744.04*2</f>
        <v>3488.08</v>
      </c>
      <c r="L46" s="15"/>
      <c r="M46" s="22">
        <f>1744.04+1744.04</f>
        <v>3488.08</v>
      </c>
      <c r="N46" s="22">
        <f>14868+1744.04</f>
        <v>16612.04</v>
      </c>
      <c r="O46" s="22">
        <v>1744.04</v>
      </c>
      <c r="P46" s="22">
        <v>1744.04</v>
      </c>
      <c r="Q46" s="22">
        <v>1744.04</v>
      </c>
      <c r="R46" s="22">
        <v>1744.04</v>
      </c>
      <c r="S46" s="22">
        <v>1744.04</v>
      </c>
      <c r="T46" s="31">
        <f t="shared" si="2"/>
        <v>35796.48</v>
      </c>
      <c r="U46" s="29">
        <f t="shared" si="3"/>
        <v>-796.4800000000032</v>
      </c>
    </row>
    <row r="47" spans="1:21" ht="12.75">
      <c r="A47" s="15">
        <f t="shared" si="4"/>
        <v>20</v>
      </c>
      <c r="B47" s="21" t="s">
        <v>53</v>
      </c>
      <c r="C47" s="21"/>
      <c r="D47" s="21"/>
      <c r="E47" s="21"/>
      <c r="F47" s="43">
        <v>18000</v>
      </c>
      <c r="G47" s="42"/>
      <c r="H47" s="15"/>
      <c r="I47" s="15"/>
      <c r="J47" s="22">
        <v>4500</v>
      </c>
      <c r="K47" s="25"/>
      <c r="L47" s="15"/>
      <c r="M47" s="22">
        <v>4500</v>
      </c>
      <c r="N47" s="15"/>
      <c r="O47" s="15"/>
      <c r="P47" s="22">
        <v>4864.7</v>
      </c>
      <c r="Q47" s="15"/>
      <c r="R47" s="15"/>
      <c r="S47" s="22">
        <v>4500</v>
      </c>
      <c r="T47" s="31">
        <f t="shared" si="2"/>
        <v>18364.7</v>
      </c>
      <c r="U47" s="29">
        <f t="shared" si="3"/>
        <v>-364.7000000000007</v>
      </c>
    </row>
    <row r="48" spans="1:21" ht="12.75">
      <c r="A48" s="15">
        <f t="shared" si="4"/>
        <v>21</v>
      </c>
      <c r="B48" s="21" t="s">
        <v>54</v>
      </c>
      <c r="C48" s="21"/>
      <c r="D48" s="21"/>
      <c r="E48" s="21"/>
      <c r="F48" s="43">
        <v>30000</v>
      </c>
      <c r="G48" s="42"/>
      <c r="H48" s="15"/>
      <c r="I48" s="15"/>
      <c r="J48" s="17"/>
      <c r="K48" s="25"/>
      <c r="L48" s="15">
        <v>9598</v>
      </c>
      <c r="M48" s="15"/>
      <c r="N48" s="15"/>
      <c r="O48" s="15"/>
      <c r="P48" s="15"/>
      <c r="Q48" s="15"/>
      <c r="R48" s="15">
        <f>17360.58+3000</f>
        <v>20360.58</v>
      </c>
      <c r="S48" s="15"/>
      <c r="T48" s="31">
        <f t="shared" si="2"/>
        <v>29958.58</v>
      </c>
      <c r="U48" s="29">
        <f t="shared" si="3"/>
        <v>41.419999999998254</v>
      </c>
    </row>
    <row r="49" spans="1:21" ht="12.75">
      <c r="A49" s="15">
        <f t="shared" si="4"/>
        <v>22</v>
      </c>
      <c r="B49" s="21" t="s">
        <v>55</v>
      </c>
      <c r="C49" s="21"/>
      <c r="D49" s="21"/>
      <c r="E49" s="21"/>
      <c r="F49" s="43">
        <v>235200</v>
      </c>
      <c r="G49" s="42"/>
      <c r="H49" s="22">
        <f>19790.3</f>
        <v>19790.3</v>
      </c>
      <c r="I49" s="15"/>
      <c r="J49" s="22">
        <v>19390.3</v>
      </c>
      <c r="K49" s="22">
        <f>19590.3+19590.3</f>
        <v>39180.6</v>
      </c>
      <c r="L49" s="15"/>
      <c r="M49" s="22">
        <f>19590.3+19590.3</f>
        <v>39180.6</v>
      </c>
      <c r="N49" s="22">
        <f>332.26+7964.37+11625.93</f>
        <v>19922.559999999998</v>
      </c>
      <c r="O49" s="22">
        <f>7964.37+11625.93</f>
        <v>19590.3</v>
      </c>
      <c r="P49" s="22">
        <f>2658.12+7964.37+11625.93</f>
        <v>22248.42</v>
      </c>
      <c r="Q49" s="22">
        <f>7964.37+11625.93</f>
        <v>19590.3</v>
      </c>
      <c r="R49" s="22">
        <f>7964.37+11625.93</f>
        <v>19590.3</v>
      </c>
      <c r="S49" s="22">
        <f>7964.37+11625.93</f>
        <v>19590.3</v>
      </c>
      <c r="T49" s="31">
        <f t="shared" si="2"/>
        <v>238073.97999999992</v>
      </c>
      <c r="U49" s="29">
        <f t="shared" si="3"/>
        <v>-2873.979999999923</v>
      </c>
    </row>
    <row r="50" spans="1:21" ht="12.75">
      <c r="A50" s="15">
        <f t="shared" si="4"/>
        <v>23</v>
      </c>
      <c r="B50" s="21" t="s">
        <v>56</v>
      </c>
      <c r="C50" s="21"/>
      <c r="D50" s="21"/>
      <c r="E50" s="21"/>
      <c r="F50" s="43">
        <v>10000</v>
      </c>
      <c r="G50" s="42"/>
      <c r="H50" s="15"/>
      <c r="I50" s="15"/>
      <c r="J50" s="17"/>
      <c r="K50" s="25"/>
      <c r="L50" s="15"/>
      <c r="M50" s="15"/>
      <c r="N50" s="15"/>
      <c r="O50" s="22">
        <v>7628</v>
      </c>
      <c r="P50" s="15"/>
      <c r="Q50" s="15"/>
      <c r="R50" s="22">
        <v>881</v>
      </c>
      <c r="S50" s="15"/>
      <c r="T50" s="31">
        <f t="shared" si="2"/>
        <v>8509</v>
      </c>
      <c r="U50" s="29">
        <f t="shared" si="3"/>
        <v>1491</v>
      </c>
    </row>
    <row r="51" spans="1:21" ht="12.75">
      <c r="A51" s="15">
        <f t="shared" si="4"/>
        <v>24</v>
      </c>
      <c r="B51" s="21" t="s">
        <v>62</v>
      </c>
      <c r="C51" s="21"/>
      <c r="D51" s="21"/>
      <c r="E51" s="21"/>
      <c r="F51" s="43">
        <v>30000</v>
      </c>
      <c r="G51" s="42"/>
      <c r="H51" s="22">
        <f>2500</f>
        <v>2500</v>
      </c>
      <c r="I51" s="22">
        <f>2500</f>
        <v>2500</v>
      </c>
      <c r="J51" s="22">
        <v>2500</v>
      </c>
      <c r="K51" s="22">
        <v>2500</v>
      </c>
      <c r="L51" s="22">
        <f>2500</f>
        <v>2500</v>
      </c>
      <c r="M51" s="22">
        <v>2500</v>
      </c>
      <c r="N51" s="22">
        <v>2500</v>
      </c>
      <c r="O51" s="22">
        <f>2500+2500</f>
        <v>5000</v>
      </c>
      <c r="P51" s="15"/>
      <c r="Q51" s="22">
        <f>2500</f>
        <v>2500</v>
      </c>
      <c r="R51" s="22">
        <v>2500</v>
      </c>
      <c r="S51" s="22">
        <f>2500+2500</f>
        <v>5000</v>
      </c>
      <c r="T51" s="31">
        <f t="shared" si="2"/>
        <v>32500</v>
      </c>
      <c r="U51" s="29">
        <f t="shared" si="3"/>
        <v>-2500</v>
      </c>
    </row>
    <row r="52" spans="1:21" ht="12.75">
      <c r="A52" s="15"/>
      <c r="B52" s="49" t="s">
        <v>8</v>
      </c>
      <c r="C52" s="49"/>
      <c r="D52" s="49"/>
      <c r="E52" s="49"/>
      <c r="F52" s="43">
        <f>SUM(F28:F51)</f>
        <v>3846552</v>
      </c>
      <c r="G52" s="42"/>
      <c r="H52" s="26">
        <f aca="true" t="shared" si="5" ref="H52:P52">SUM(H28:H51)</f>
        <v>133440.9</v>
      </c>
      <c r="I52" s="26">
        <f t="shared" si="5"/>
        <v>141157.63999999998</v>
      </c>
      <c r="J52" s="26">
        <f t="shared" si="5"/>
        <v>185774.76</v>
      </c>
      <c r="K52" s="27">
        <f t="shared" si="5"/>
        <v>362918.2</v>
      </c>
      <c r="L52" s="26">
        <f t="shared" si="5"/>
        <v>360948.58999999997</v>
      </c>
      <c r="M52" s="26">
        <f t="shared" si="5"/>
        <v>488716.69</v>
      </c>
      <c r="N52" s="26">
        <f t="shared" si="5"/>
        <v>584181.22</v>
      </c>
      <c r="O52" s="26">
        <f t="shared" si="5"/>
        <v>529549.1699999999</v>
      </c>
      <c r="P52" s="26">
        <f t="shared" si="5"/>
        <v>335417.43</v>
      </c>
      <c r="Q52" s="26">
        <f>SUM(Q28:Q51)</f>
        <v>202168.05</v>
      </c>
      <c r="R52" s="26">
        <f>SUM(R28:R51)</f>
        <v>218439.57999999996</v>
      </c>
      <c r="S52" s="26">
        <f>SUM(S28:S51)</f>
        <v>221923.25</v>
      </c>
      <c r="T52" s="31">
        <f t="shared" si="2"/>
        <v>3764635.48</v>
      </c>
      <c r="U52" s="29">
        <f>SUM(U28:U51)</f>
        <v>81916.52000000008</v>
      </c>
    </row>
    <row r="53" spans="1:20" ht="12.75">
      <c r="A53" s="15"/>
      <c r="B53" s="15"/>
      <c r="C53" s="15"/>
      <c r="D53" s="15"/>
      <c r="E53" s="15"/>
      <c r="F53" s="16"/>
      <c r="G53" s="16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8"/>
    </row>
    <row r="54" spans="1:20" ht="12.75">
      <c r="A54" s="15"/>
      <c r="B54" s="15"/>
      <c r="C54" s="15"/>
      <c r="D54" s="15"/>
      <c r="E54" s="15"/>
      <c r="F54" s="16"/>
      <c r="G54" s="16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8"/>
    </row>
    <row r="55" spans="1:20" ht="12.75">
      <c r="A55" s="15"/>
      <c r="B55" s="15" t="s">
        <v>63</v>
      </c>
      <c r="C55" s="15"/>
      <c r="D55" s="15"/>
      <c r="E55" s="15"/>
      <c r="F55" s="42" t="s">
        <v>58</v>
      </c>
      <c r="G55" s="42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8"/>
    </row>
    <row r="56" spans="1:20" ht="12.75">
      <c r="A56" s="15"/>
      <c r="B56" s="15"/>
      <c r="C56" s="15"/>
      <c r="D56" s="15"/>
      <c r="E56" s="15"/>
      <c r="F56" s="42" t="s">
        <v>64</v>
      </c>
      <c r="G56" s="42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8"/>
    </row>
    <row r="57" spans="1:21" s="10" customFormat="1" ht="12.75" hidden="1">
      <c r="A57" s="28"/>
      <c r="B57" s="28"/>
      <c r="C57" s="28"/>
      <c r="D57" s="28"/>
      <c r="E57" s="28"/>
      <c r="F57" s="28"/>
      <c r="G57" s="28"/>
      <c r="H57" s="28">
        <f aca="true" t="shared" si="6" ref="H57:S57">H24-H52</f>
        <v>60122.590000000026</v>
      </c>
      <c r="I57" s="28">
        <f t="shared" si="6"/>
        <v>91461.88</v>
      </c>
      <c r="J57" s="28">
        <f t="shared" si="6"/>
        <v>70192.17000000001</v>
      </c>
      <c r="K57" s="28">
        <f t="shared" si="6"/>
        <v>-134273.74000000002</v>
      </c>
      <c r="L57" s="28">
        <f t="shared" si="6"/>
        <v>-141475.50999999998</v>
      </c>
      <c r="M57" s="28">
        <f t="shared" si="6"/>
        <v>-248173.77</v>
      </c>
      <c r="N57" s="28">
        <f t="shared" si="6"/>
        <v>-341711.27999999997</v>
      </c>
      <c r="O57" s="28">
        <f t="shared" si="6"/>
        <v>-293601.85999999987</v>
      </c>
      <c r="P57" s="28">
        <f t="shared" si="6"/>
        <v>-106745.36000000002</v>
      </c>
      <c r="Q57" s="28">
        <f t="shared" si="6"/>
        <v>58030.41</v>
      </c>
      <c r="R57" s="28">
        <f t="shared" si="6"/>
        <v>29747.600000000064</v>
      </c>
      <c r="S57" s="28">
        <f t="shared" si="6"/>
        <v>161012.48999999993</v>
      </c>
      <c r="T57" s="18">
        <f>H57+I57+J57+K57+L57+M57+N57+O57+P57+Q57+R57+S57</f>
        <v>-795414.3799999997</v>
      </c>
      <c r="U57" s="12"/>
    </row>
    <row r="58" spans="2:6" ht="12.75">
      <c r="B58" t="s">
        <v>59</v>
      </c>
      <c r="E58" t="s">
        <v>60</v>
      </c>
      <c r="F58" s="8" t="s">
        <v>61</v>
      </c>
    </row>
    <row r="60" ht="12.75">
      <c r="B60" t="s">
        <v>86</v>
      </c>
    </row>
    <row r="61" spans="2:9" ht="12.75" hidden="1">
      <c r="B61" t="s">
        <v>92</v>
      </c>
      <c r="I61">
        <v>2000</v>
      </c>
    </row>
    <row r="62" ht="12.75">
      <c r="B62" t="s">
        <v>72</v>
      </c>
    </row>
    <row r="63" spans="2:20" ht="12.75">
      <c r="B63" t="s">
        <v>76</v>
      </c>
      <c r="H63" s="3">
        <v>8642.3</v>
      </c>
      <c r="I63" s="3">
        <v>2000</v>
      </c>
      <c r="L63" s="3">
        <f>800</f>
        <v>800</v>
      </c>
      <c r="N63" s="3">
        <v>2000</v>
      </c>
      <c r="Q63" s="3">
        <v>2000</v>
      </c>
      <c r="T63" s="11">
        <f>H63+L63+N63+Q63</f>
        <v>13442.3</v>
      </c>
    </row>
    <row r="64" spans="2:20" ht="12.75">
      <c r="B64" t="s">
        <v>78</v>
      </c>
      <c r="H64" s="3">
        <v>63335.18</v>
      </c>
      <c r="I64" s="3">
        <v>73257.39</v>
      </c>
      <c r="J64" s="3">
        <v>65415.7</v>
      </c>
      <c r="K64" s="3">
        <v>67306.27</v>
      </c>
      <c r="L64" s="3">
        <v>64696.12</v>
      </c>
      <c r="M64" s="3">
        <v>60804.83</v>
      </c>
      <c r="N64" s="3">
        <v>57278.65</v>
      </c>
      <c r="O64" s="3">
        <v>59963.22</v>
      </c>
      <c r="P64" s="3">
        <v>56643.58</v>
      </c>
      <c r="Q64" s="3">
        <v>55680.79</v>
      </c>
      <c r="R64" s="3">
        <v>60632.98</v>
      </c>
      <c r="S64" s="3">
        <v>59258.44</v>
      </c>
      <c r="T64" s="11">
        <f>H64+I64+J64+K64+L64+M64+N64+O64+P64+Q64+R64+S64</f>
        <v>744273.1500000001</v>
      </c>
    </row>
    <row r="65" spans="2:20" ht="12.75">
      <c r="B65" t="s">
        <v>79</v>
      </c>
      <c r="H65" s="3">
        <v>392404.79</v>
      </c>
      <c r="I65" s="3">
        <v>460252.33</v>
      </c>
      <c r="J65" s="3">
        <v>461606.65</v>
      </c>
      <c r="K65" s="3">
        <v>493471.62</v>
      </c>
      <c r="L65" s="3">
        <v>361453.72</v>
      </c>
      <c r="M65" s="3">
        <v>128608.91</v>
      </c>
      <c r="N65" s="3">
        <v>102483</v>
      </c>
      <c r="O65" s="3">
        <v>31726.36</v>
      </c>
      <c r="P65" s="3">
        <v>86126.58</v>
      </c>
      <c r="Q65" s="3">
        <v>94831.73</v>
      </c>
      <c r="R65" s="3">
        <v>209541.12</v>
      </c>
      <c r="S65" s="3">
        <v>291061.8</v>
      </c>
      <c r="T65" s="11">
        <f aca="true" t="shared" si="7" ref="T65:T72">H65+I65+J65+K65+L65+M65+N65+O65+P65+Q65+R65+S65</f>
        <v>3113568.6100000003</v>
      </c>
    </row>
    <row r="66" spans="2:20" ht="12.75">
      <c r="B66" t="s">
        <v>80</v>
      </c>
      <c r="I66" s="3">
        <v>8949.6</v>
      </c>
      <c r="J66" s="3">
        <v>9147.6</v>
      </c>
      <c r="K66" s="3">
        <v>9180.6</v>
      </c>
      <c r="L66" s="3">
        <v>8806.71</v>
      </c>
      <c r="M66" s="3">
        <v>9236.7</v>
      </c>
      <c r="N66" s="3">
        <v>8781.3</v>
      </c>
      <c r="O66" s="3">
        <v>9081.6</v>
      </c>
      <c r="P66" s="3">
        <v>8982.6</v>
      </c>
      <c r="Q66" s="3">
        <v>9081.6</v>
      </c>
      <c r="R66" s="3">
        <v>8504.1</v>
      </c>
      <c r="S66" s="3">
        <v>8284.98</v>
      </c>
      <c r="T66" s="11">
        <f t="shared" si="7"/>
        <v>98037.39000000001</v>
      </c>
    </row>
    <row r="67" spans="2:20" ht="12.75">
      <c r="B67" t="s">
        <v>81</v>
      </c>
      <c r="R67" s="3">
        <v>263.14</v>
      </c>
      <c r="T67" s="11">
        <f t="shared" si="7"/>
        <v>263.14</v>
      </c>
    </row>
    <row r="68" spans="2:20" ht="12.75">
      <c r="B68" t="s">
        <v>82</v>
      </c>
      <c r="J68" s="3">
        <v>13800</v>
      </c>
      <c r="N68" s="3">
        <v>13800</v>
      </c>
      <c r="Q68" s="3">
        <v>13800</v>
      </c>
      <c r="S68" s="3">
        <v>13800</v>
      </c>
      <c r="T68" s="11">
        <f t="shared" si="7"/>
        <v>55200</v>
      </c>
    </row>
    <row r="69" spans="2:20" ht="12.75">
      <c r="B69" t="s">
        <v>84</v>
      </c>
      <c r="K69" s="3">
        <v>12400</v>
      </c>
      <c r="T69" s="11">
        <f>H69+I69+J69+K69+L69+M69+N69+O69+P69+Q69+R69+S69</f>
        <v>12400</v>
      </c>
    </row>
    <row r="70" spans="2:20" ht="12.75">
      <c r="B70" t="s">
        <v>85</v>
      </c>
      <c r="M70" s="3">
        <f>400+800</f>
        <v>1200</v>
      </c>
      <c r="T70" s="11">
        <f t="shared" si="7"/>
        <v>1200</v>
      </c>
    </row>
    <row r="71" spans="2:20" ht="12.75" hidden="1">
      <c r="B71" t="s">
        <v>102</v>
      </c>
      <c r="H71" s="9">
        <f>SUM(H61:H70)</f>
        <v>464382.26999999996</v>
      </c>
      <c r="I71" s="9">
        <f>SUM(I61:I70)</f>
        <v>546459.32</v>
      </c>
      <c r="J71" s="9">
        <f>SUM(J61:J70)</f>
        <v>549969.95</v>
      </c>
      <c r="K71" s="9">
        <f>SUM(K61:K70)</f>
        <v>582358.49</v>
      </c>
      <c r="R71" s="3">
        <v>50000</v>
      </c>
      <c r="S71" s="3">
        <v>42970</v>
      </c>
      <c r="T71" s="11">
        <f t="shared" si="7"/>
        <v>2236140.03</v>
      </c>
    </row>
    <row r="72" spans="2:20" ht="12.75" hidden="1">
      <c r="B72" t="s">
        <v>83</v>
      </c>
      <c r="K72">
        <v>4000</v>
      </c>
      <c r="T72" s="11">
        <f t="shared" si="7"/>
        <v>4000</v>
      </c>
    </row>
    <row r="73" spans="8:20" ht="12.75">
      <c r="H73" s="32">
        <f>H52+H63+H64+H65</f>
        <v>597823.1699999999</v>
      </c>
      <c r="I73" s="33">
        <f>I52+I64+I65+I66+I63</f>
        <v>685616.96</v>
      </c>
      <c r="J73" s="32">
        <f>J52+J64+J65+J66+J68</f>
        <v>735744.7100000001</v>
      </c>
      <c r="K73" s="33">
        <f>K52+K64+K65+K66+K69</f>
        <v>945276.6900000001</v>
      </c>
      <c r="L73" s="32">
        <f>L52+L63+L64+L65+L66</f>
        <v>796705.1399999999</v>
      </c>
      <c r="M73" s="33">
        <f>M52+M64+M65+M66+M70</f>
        <v>688567.13</v>
      </c>
      <c r="N73" s="32">
        <f>N52+N63+N64+N65+N66+N68</f>
        <v>768524.17</v>
      </c>
      <c r="O73" s="33">
        <f>O52+O64+O65+O66</f>
        <v>630320.3499999999</v>
      </c>
      <c r="P73" s="33">
        <f>P52+P64+P65+P66</f>
        <v>487170.19</v>
      </c>
      <c r="Q73" s="33">
        <f>Q52+Q63+Q64+Q65+Q66+Q68</f>
        <v>377562.17</v>
      </c>
      <c r="R73" s="33">
        <f>R52+R64+R65+R66+R67+R71</f>
        <v>547380.9199999999</v>
      </c>
      <c r="S73" s="32">
        <f>SUM(S64:S72)+S52</f>
        <v>637298.47</v>
      </c>
      <c r="T73" s="35">
        <f>T52+T63+T64+T65+T66+T67+T68+T69+T70</f>
        <v>7803020.069999999</v>
      </c>
    </row>
    <row r="74" spans="2:16" ht="12.75" hidden="1">
      <c r="B74" s="14" t="s">
        <v>93</v>
      </c>
      <c r="H74">
        <f>114985.12+56996.34</f>
        <v>171981.46</v>
      </c>
      <c r="I74">
        <f>147996.53+85847.31</f>
        <v>233843.84</v>
      </c>
      <c r="J74">
        <f>188326.12+150284.03</f>
        <v>338610.15</v>
      </c>
      <c r="K74">
        <f>140378.44+85589.13</f>
        <v>225967.57</v>
      </c>
      <c r="L74">
        <f>145923.33+94415.9</f>
        <v>240339.22999999998</v>
      </c>
      <c r="M74">
        <f>155616.25+103708.34</f>
        <v>259324.59</v>
      </c>
      <c r="N74">
        <f>143863.03+87394.87</f>
        <v>231257.9</v>
      </c>
      <c r="O74">
        <f>169217.54+91454.6+5599.34</f>
        <v>266271.48000000004</v>
      </c>
      <c r="P74">
        <f>164498.67+91823.46+358.95</f>
        <v>256681.08000000002</v>
      </c>
    </row>
    <row r="75" spans="2:16" ht="12.75" hidden="1">
      <c r="B75" s="14" t="s">
        <v>94</v>
      </c>
      <c r="H75">
        <f>23935.84+14795.63</f>
        <v>38731.47</v>
      </c>
      <c r="I75">
        <f>34884.83+22227.83</f>
        <v>57112.66</v>
      </c>
      <c r="J75">
        <f>58322.53+38254.18</f>
        <v>96576.70999999999</v>
      </c>
      <c r="K75">
        <f>35495.69+21939.11</f>
        <v>57434.8</v>
      </c>
      <c r="L75">
        <f>45788.24+24219.69</f>
        <v>70007.93</v>
      </c>
      <c r="M75">
        <f>44979.67+26698.9</f>
        <v>71678.57</v>
      </c>
      <c r="N75">
        <f>35829.15+22581.34+0.69+0.73</f>
        <v>58411.91000000001</v>
      </c>
      <c r="O75">
        <f>38454.7+23553.85+317.05+792.66+1960.18</f>
        <v>65078.44</v>
      </c>
      <c r="P75">
        <f>39001.69+23962.56+112.66+47.5+218.98</f>
        <v>63343.39000000001</v>
      </c>
    </row>
    <row r="76" spans="2:16" ht="12.75" hidden="1">
      <c r="B76" t="s">
        <v>95</v>
      </c>
      <c r="H76">
        <f>4968.67+2334.42</f>
        <v>7303.09</v>
      </c>
      <c r="I76">
        <f>7524.62+569.65</f>
        <v>8094.2699999999995</v>
      </c>
      <c r="J76">
        <f>11967.55+214.64</f>
        <v>12182.189999999999</v>
      </c>
      <c r="K76">
        <f>7222.21+449.5</f>
        <v>7671.71</v>
      </c>
      <c r="L76">
        <f>8007.25+623.7</f>
        <v>8630.95</v>
      </c>
      <c r="M76">
        <f>8902.75+178.2</f>
        <v>9080.95</v>
      </c>
      <c r="N76">
        <f>6407.31+2180.33</f>
        <v>8587.64</v>
      </c>
      <c r="O76">
        <f>8749.98+1085.54</f>
        <v>9835.52</v>
      </c>
      <c r="P76">
        <f>6428.63+3206.23</f>
        <v>9634.86</v>
      </c>
    </row>
    <row r="77" spans="2:16" ht="12.75" hidden="1">
      <c r="B77" t="s">
        <v>96</v>
      </c>
      <c r="H77">
        <v>2918.32</v>
      </c>
      <c r="I77">
        <v>4077.45</v>
      </c>
      <c r="J77">
        <v>5608.29</v>
      </c>
      <c r="K77">
        <v>3823.23</v>
      </c>
      <c r="L77">
        <v>4117.83</v>
      </c>
      <c r="M77">
        <v>4564.5</v>
      </c>
      <c r="N77">
        <v>4284.26</v>
      </c>
      <c r="O77">
        <v>4654.11</v>
      </c>
      <c r="P77">
        <v>4444.75</v>
      </c>
    </row>
    <row r="78" spans="2:16" ht="12.75" hidden="1">
      <c r="B78" t="s">
        <v>97</v>
      </c>
      <c r="H78">
        <v>225.7</v>
      </c>
      <c r="I78">
        <v>478.81</v>
      </c>
      <c r="J78">
        <v>866.33</v>
      </c>
      <c r="K78">
        <v>719.81</v>
      </c>
      <c r="L78">
        <v>749.8</v>
      </c>
      <c r="M78">
        <v>795.55</v>
      </c>
      <c r="N78">
        <v>775.09</v>
      </c>
      <c r="O78">
        <v>885.25</v>
      </c>
      <c r="P78">
        <v>854.24</v>
      </c>
    </row>
    <row r="79" spans="2:16" ht="12.75" hidden="1">
      <c r="B79" t="s">
        <v>82</v>
      </c>
      <c r="I79">
        <v>-63.06</v>
      </c>
      <c r="J79">
        <v>160</v>
      </c>
      <c r="K79">
        <v>140</v>
      </c>
      <c r="L79">
        <v>20</v>
      </c>
      <c r="M79">
        <v>98.89</v>
      </c>
      <c r="N79">
        <v>80</v>
      </c>
      <c r="O79">
        <v>60</v>
      </c>
      <c r="P79">
        <v>31</v>
      </c>
    </row>
    <row r="80" spans="2:16" ht="12.75" hidden="1">
      <c r="B80" t="s">
        <v>98</v>
      </c>
      <c r="H80">
        <v>1474.48</v>
      </c>
      <c r="I80">
        <v>2061.58</v>
      </c>
      <c r="J80">
        <v>3091.7</v>
      </c>
      <c r="K80">
        <v>1964.91</v>
      </c>
      <c r="L80">
        <v>2139.95</v>
      </c>
      <c r="M80">
        <v>2528.4</v>
      </c>
      <c r="N80">
        <v>1976.47</v>
      </c>
      <c r="O80">
        <v>2399.13</v>
      </c>
      <c r="P80">
        <v>1990.42</v>
      </c>
    </row>
    <row r="81" spans="2:15" ht="12.75" hidden="1">
      <c r="B81" t="s">
        <v>99</v>
      </c>
      <c r="H81">
        <v>70.77</v>
      </c>
      <c r="I81">
        <v>11.38</v>
      </c>
      <c r="J81">
        <v>-53.35</v>
      </c>
      <c r="K81">
        <v>-14.67</v>
      </c>
      <c r="L81">
        <v>-23.24</v>
      </c>
      <c r="M81">
        <v>33.18</v>
      </c>
      <c r="N81">
        <v>-6.68</v>
      </c>
      <c r="O81">
        <v>2.53</v>
      </c>
    </row>
    <row r="82" spans="2:16" ht="12.75" hidden="1">
      <c r="B82" t="s">
        <v>100</v>
      </c>
      <c r="H82">
        <v>31808.97</v>
      </c>
      <c r="I82">
        <v>17629.48</v>
      </c>
      <c r="J82" s="4">
        <v>-20147.75</v>
      </c>
      <c r="K82">
        <v>-678.46</v>
      </c>
      <c r="L82">
        <v>-6682.79</v>
      </c>
      <c r="M82">
        <v>10791.77</v>
      </c>
      <c r="N82">
        <v>-1300.78</v>
      </c>
      <c r="O82">
        <v>-1805.91</v>
      </c>
      <c r="P82">
        <v>-9527.06</v>
      </c>
    </row>
    <row r="83" spans="2:16" ht="12.75" hidden="1">
      <c r="B83" t="s">
        <v>101</v>
      </c>
      <c r="H83">
        <v>-2554.81</v>
      </c>
      <c r="I83">
        <v>660.13</v>
      </c>
      <c r="J83">
        <v>3067.43</v>
      </c>
      <c r="K83">
        <v>-306.46</v>
      </c>
      <c r="L83">
        <v>-680.8</v>
      </c>
      <c r="M83">
        <v>-471.43</v>
      </c>
      <c r="N83">
        <v>-1077.1</v>
      </c>
      <c r="O83">
        <v>90.78</v>
      </c>
      <c r="P83">
        <v>-537.98</v>
      </c>
    </row>
    <row r="84" ht="12.75" hidden="1"/>
  </sheetData>
  <mergeCells count="62">
    <mergeCell ref="B45:E45"/>
    <mergeCell ref="F45:G45"/>
    <mergeCell ref="B52:E52"/>
    <mergeCell ref="F52:G52"/>
    <mergeCell ref="F46:G46"/>
    <mergeCell ref="F47:G47"/>
    <mergeCell ref="F48:G48"/>
    <mergeCell ref="F49:G49"/>
    <mergeCell ref="F50:G50"/>
    <mergeCell ref="B43:E43"/>
    <mergeCell ref="F43:G43"/>
    <mergeCell ref="B44:E44"/>
    <mergeCell ref="F44:G44"/>
    <mergeCell ref="B41:E41"/>
    <mergeCell ref="F41:G41"/>
    <mergeCell ref="B42:E42"/>
    <mergeCell ref="F42:G42"/>
    <mergeCell ref="B39:E39"/>
    <mergeCell ref="F39:G39"/>
    <mergeCell ref="B40:E40"/>
    <mergeCell ref="F40:G40"/>
    <mergeCell ref="B37:E37"/>
    <mergeCell ref="F37:G37"/>
    <mergeCell ref="B38:E38"/>
    <mergeCell ref="F38:G38"/>
    <mergeCell ref="B35:E35"/>
    <mergeCell ref="F35:G35"/>
    <mergeCell ref="B36:E36"/>
    <mergeCell ref="F36:G36"/>
    <mergeCell ref="B33:E33"/>
    <mergeCell ref="F33:G33"/>
    <mergeCell ref="B34:E34"/>
    <mergeCell ref="F34:G34"/>
    <mergeCell ref="B31:E31"/>
    <mergeCell ref="F31:G31"/>
    <mergeCell ref="B32:E32"/>
    <mergeCell ref="F32:G32"/>
    <mergeCell ref="A26:C26"/>
    <mergeCell ref="B28:E28"/>
    <mergeCell ref="F28:G28"/>
    <mergeCell ref="B30:E30"/>
    <mergeCell ref="F30:G30"/>
    <mergeCell ref="F29:G29"/>
    <mergeCell ref="B22:E22"/>
    <mergeCell ref="F22:G22"/>
    <mergeCell ref="F23:G23"/>
    <mergeCell ref="B24:E24"/>
    <mergeCell ref="F24:G24"/>
    <mergeCell ref="B19:E19"/>
    <mergeCell ref="F19:G19"/>
    <mergeCell ref="B21:E21"/>
    <mergeCell ref="F21:G21"/>
    <mergeCell ref="F55:G55"/>
    <mergeCell ref="F56:G56"/>
    <mergeCell ref="F51:G51"/>
    <mergeCell ref="A12:J12"/>
    <mergeCell ref="A13:K13"/>
    <mergeCell ref="A15:C15"/>
    <mergeCell ref="B17:E17"/>
    <mergeCell ref="F17:G17"/>
    <mergeCell ref="B18:E18"/>
    <mergeCell ref="F18:G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Орбита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Мануева Любовь</dc:creator>
  <cp:keywords/>
  <dc:description/>
  <cp:lastModifiedBy>Мануева Любовь</cp:lastModifiedBy>
  <cp:lastPrinted>2012-02-20T14:28:40Z</cp:lastPrinted>
  <dcterms:created xsi:type="dcterms:W3CDTF">2011-02-26T10:16:07Z</dcterms:created>
  <dcterms:modified xsi:type="dcterms:W3CDTF">2012-03-24T08:18:00Z</dcterms:modified>
  <cp:category/>
  <cp:version/>
  <cp:contentType/>
  <cp:contentStatus/>
</cp:coreProperties>
</file>